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LADOLID\"/>
    </mc:Choice>
  </mc:AlternateContent>
  <workbookProtection workbookAlgorithmName="SHA-512" workbookHashValue="771dwqRqfoNuT+ow29gZ2+PDg7vixSr3sOxFDP/q3dZ5RhSCafobyE/nXvC4qR7ItI1WZpg0lGxOr2Mc5723qg==" workbookSaltValue="B4ZowptvjikI8GmM0iqE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AO13" i="17"/>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BI20" i="16"/>
  <c r="BD20" i="21"/>
  <c r="AD20" i="21"/>
  <c r="BD20" i="16"/>
  <c r="AP20" i="17"/>
  <c r="AE20" i="21"/>
  <c r="BM20" i="16"/>
  <c r="X20" i="21"/>
  <c r="K20" i="16"/>
  <c r="J20" i="11"/>
  <c r="J20" i="17"/>
  <c r="AJ20" i="17"/>
  <c r="AR20" i="20"/>
  <c r="AD20" i="16"/>
  <c r="BK20" i="16"/>
  <c r="AR20" i="11"/>
  <c r="AN20" i="16"/>
  <c r="O20" i="11"/>
  <c r="AS20" i="11"/>
  <c r="L20" i="17"/>
  <c r="S20" i="17"/>
  <c r="E20" i="17"/>
  <c r="BE20" i="16"/>
  <c r="M20" i="11"/>
  <c r="J20" i="12"/>
  <c r="AL20" i="16"/>
  <c r="AO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C20" i="21"/>
  <c r="AP20" i="21"/>
  <c r="AD20" i="11"/>
  <c r="AZ20" i="16"/>
  <c r="V20" i="16"/>
  <c r="AU20" i="21"/>
  <c r="O20" i="21"/>
  <c r="H20" i="21"/>
  <c r="AE20" i="17"/>
  <c r="AT20" i="17"/>
  <c r="N20" i="11"/>
  <c r="S20" i="11"/>
  <c r="M20" i="21"/>
  <c r="F20" i="21"/>
  <c r="E20" i="16"/>
  <c r="P20" i="21"/>
  <c r="AJ20" i="16"/>
  <c r="AB20" i="21"/>
  <c r="F20" i="16"/>
  <c r="AV20" i="11"/>
  <c r="K20" i="17"/>
  <c r="P20" i="11"/>
  <c r="AB20" i="16"/>
  <c r="BJ20" i="16"/>
  <c r="U20" i="11"/>
  <c r="AC20" i="11"/>
  <c r="L20" i="11"/>
  <c r="E20" i="11"/>
  <c r="AV20" i="17"/>
  <c r="AJ20" i="21"/>
  <c r="H20" i="16"/>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<sst xmlns="http://schemas.openxmlformats.org/spreadsheetml/2006/main" count="2102" uniqueCount="918">
  <si>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</si>
  <si>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</si>
  <si>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</si>
  <si>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</si>
  <si>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</si>
  <si>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</si>
  <si>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</si>
  <si>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</si>
  <si>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</si>
  <si>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</si>
  <si>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</si>
  <si>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</si>
  <si>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</si>
  <si>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</si>
  <si>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</si>
  <si>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</si>
  <si>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</si>
  <si>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</si>
  <si>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</si>
  <si>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</si>
  <si>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</si>
  <si>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</si>
  <si>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</si>
  <si>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</si>
  <si>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</si>
  <si>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</si>
  <si>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</si>
  <si>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</si>
  <si>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</si>
  <si>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</si>
  <si>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</si>
  <si>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</si>
  <si>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</si>
  <si>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</si>
  <si>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</si>
  <si>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</si>
  <si>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</si>
  <si>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</si>
  <si>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</si>
  <si>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</si>
  <si>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</si>
  <si>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</si>
  <si>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</si>
  <si>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</si>
  <si>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</si>
  <si>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</si>
  <si>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</si>
  <si>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</si>
  <si>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</si>
  <si>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</si>
  <si>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</si>
  <si>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</si>
  <si>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</si>
  <si>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</si>
  <si>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</si>
  <si>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</si>
  <si>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</si>
  <si>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</si>
  <si>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</si>
  <si>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</si>
  <si>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</si>
  <si>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</si>
  <si>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</si>
  <si>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</si>
  <si>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</si>
  <si>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</si>
  <si>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</si>
  <si>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</si>
  <si>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</si>
  <si>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</si>
  <si>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</si>
  <si>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</si>
  <si>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</si>
  <si>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</si>
  <si>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</si>
  <si>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</si>
  <si>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</si>
  <si>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</si>
  <si>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</si>
  <si>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</si>
  <si>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</si>
  <si>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</si>
  <si>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</si>
  <si>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</si>
  <si>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</si>
  <si>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</si>
  <si>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</si>
  <si>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</si>
  <si>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</si>
  <si>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</si>
  <si>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</si>
  <si>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</si>
  <si>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</si>
  <si>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</si>
  <si>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</si>
  <si>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</si>
  <si>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</si>
  <si>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</si>
  <si>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</si>
  <si>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</si>
  <si>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</si>
  <si>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</si>
  <si>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</si>
  <si>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</si>
  <si>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</si>
  <si>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</si>
  <si>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</si>
  <si>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</si>
  <si>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</si>
  <si>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</si>
  <si>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</si>
  <si>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</si>
  <si>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</si>
  <si>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</si>
  <si>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</si>
  <si>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</si>
  <si>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</si>
  <si>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</si>
  <si>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</si>
  <si>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</si>
  <si>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</si>
  <si>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</si>
  <si>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</si>
  <si>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</si>
  <si>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</si>
  <si>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</si>
  <si>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</si>
  <si>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</si>
  <si>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</si>
  <si>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</si>
  <si>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</si>
  <si>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</si>
  <si>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</si>
  <si>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</si>
  <si>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</si>
  <si>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</si>
  <si>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</si>
  <si>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</si>
  <si>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</si>
  <si>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</si>
  <si>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</si>
  <si>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</si>
  <si>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</si>
  <si>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</si>
  <si>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</si>
  <si>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</si>
  <si>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</si>
  <si>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</si>
  <si>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</si>
  <si>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</si>
  <si>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</si>
  <si>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</si>
  <si>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</si>
  <si>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</si>
  <si>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</si>
  <si>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</si>
  <si>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</si>
  <si>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</si>
  <si>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</si>
  <si>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</si>
  <si>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</si>
  <si>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</si>
  <si>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</si>
  <si>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</si>
  <si>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</si>
  <si>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</si>
  <si>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</si>
  <si>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</si>
  <si>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</si>
  <si>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</si>
  <si>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</si>
  <si>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</si>
  <si>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</si>
  <si>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</si>
  <si>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</si>
  <si>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</si>
  <si>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</si>
  <si>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</si>
  <si>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</si>
  <si>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</si>
  <si>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</si>
  <si>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</si>
  <si>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</si>
  <si>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</si>
  <si>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</si>
  <si>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</si>
  <si>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</si>
  <si>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</si>
  <si>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</si>
  <si>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</si>
  <si>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</si>
  <si>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</si>
  <si>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</si>
  <si>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</si>
  <si>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</si>
  <si>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</si>
  <si>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</si>
  <si>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</si>
  <si>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</si>
  <si>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</si>
  <si>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</si>
  <si>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</si>
  <si>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</si>
  <si>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</si>
  <si>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</si>
  <si>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</si>
  <si>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</si>
  <si>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</si>
  <si>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</si>
  <si>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</si>
  <si>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</si>
  <si>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</si>
  <si>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</si>
  <si>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</si>
  <si>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</si>
  <si>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</si>
  <si>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</si>
  <si>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</si>
  <si>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</si>
  <si>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</si>
  <si>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</si>
  <si>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</si>
  <si>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</si>
  <si>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</si>
  <si>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</si>
  <si>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</si>
  <si>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</si>
  <si>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</si>
  <si>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</si>
  <si>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</si>
  <si>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</si>
  <si>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</si>
  <si>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</si>
  <si>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</si>
  <si>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</si>
  <si>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</si>
  <si>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</si>
  <si>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</si>
  <si>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</si>
  <si>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</si>
  <si>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</si>
  <si>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</si>
  <si>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</si>
  <si>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</si>
  <si>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</si>
  <si>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</si>
  <si>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</si>
  <si>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</si>
  <si>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</si>
  <si>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</si>
  <si>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</si>
  <si>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</si>
  <si>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</si>
  <si>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</si>
  <si>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</si>
  <si>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</si>
  <si>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</si>
  <si>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</si>
  <si>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</si>
  <si>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</si>
  <si>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</si>
  <si>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</si>
  <si>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</si>
  <si>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</si>
  <si>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</si>
  <si>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</si>
  <si>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</si>
  <si>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</si>
  <si>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</si>
  <si>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</si>
  <si>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</si>
  <si>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</si>
  <si>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</si>
  <si>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</si>
  <si>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</si>
  <si>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</si>
  <si>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</si>
  <si>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</si>
  <si>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</si>
  <si>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</si>
  <si>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</si>
  <si>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</si>
  <si>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</si>
  <si>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</si>
  <si>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</si>
  <si>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</si>
  <si>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</si>
  <si>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</si>
  <si>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</si>
  <si>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</si>
  <si>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</si>
  <si>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</si>
  <si>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</si>
  <si>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</si>
  <si>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</si>
  <si>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</si>
  <si>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</si>
  <si>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</si>
  <si>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</si>
  <si>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</si>
  <si>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</si>
  <si>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</si>
  <si>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</si>
  <si>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</si>
  <si>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</si>
  <si>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</si>
  <si>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</si>
  <si>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</si>
  <si>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</si>
  <si>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</si>
  <si>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</si>
  <si>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</si>
  <si>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</si>
  <si>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</si>
  <si>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</si>
  <si>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</si>
  <si>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</si>
  <si>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</si>
  <si>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</si>
  <si>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</si>
  <si>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</si>
  <si>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</si>
  <si>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</si>
  <si>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</si>
  <si>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</si>
  <si>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</si>
  <si>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</si>
  <si>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</si>
  <si>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</si>
  <si>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</si>
  <si>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</si>
  <si>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</si>
  <si>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</si>
  <si>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</si>
  <si>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</si>
  <si>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</si>
  <si>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</si>
  <si>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</si>
  <si>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</si>
  <si>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</si>
  <si>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</si>
  <si>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</si>
  <si>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</si>
  <si>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</si>
  <si>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</si>
  <si>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</si>
  <si>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</si>
  <si>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</si>
  <si>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</si>
  <si>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</si>
  <si>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</si>
  <si>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</si>
  <si>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</si>
  <si>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</si>
  <si>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</si>
  <si>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</si>
  <si>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</si>
  <si>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</si>
  <si>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</si>
  <si>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</si>
  <si>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</si>
  <si>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</si>
  <si>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</si>
  <si>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</si>
  <si>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</si>
  <si>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</si>
  <si>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</si>
  <si>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</si>
  <si>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</si>
  <si>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</si>
  <si>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</si>
  <si>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</si>
  <si>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</si>
  <si>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</si>
  <si>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</si>
  <si>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</si>
  <si>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</si>
  <si>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</si>
  <si>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</si>
  <si>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</si>
  <si>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</si>
  <si>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</si>
  <si>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</si>
  <si>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</si>
  <si>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</si>
  <si>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</si>
  <si>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</si>
  <si>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</si>
  <si>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</si>
  <si>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</si>
  <si>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</si>
  <si>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</si>
  <si>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</si>
  <si>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</si>
  <si>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</si>
  <si>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</si>
  <si>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</si>
  <si>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</si>
  <si>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</si>
  <si>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</si>
  <si>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</si>
  <si>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</si>
  <si>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</si>
  <si>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</si>
  <si>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</si>
  <si>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</si>
  <si>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</si>
  <si>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</si>
  <si>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</si>
  <si>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</si>
  <si>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</si>
  <si>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</si>
  <si>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</si>
  <si>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</si>
  <si>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</si>
  <si>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</si>
  <si>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</si>
  <si>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</si>
  <si>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</si>
  <si>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</si>
  <si>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</si>
  <si>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</si>
  <si>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</si>
  <si>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</si>
  <si>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</si>
  <si>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</si>
  <si>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</si>
  <si>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</si>
  <si>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</si>
  <si>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</si>
  <si>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</si>
  <si>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</si>
  <si>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</si>
  <si>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</si>
  <si>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</si>
  <si>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</si>
  <si>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</si>
  <si>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</si>
  <si>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</si>
  <si>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</si>
  <si>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</si>
  <si>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</si>
  <si>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</si>
  <si>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</si>
  <si>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</si>
  <si>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</si>
  <si>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</si>
  <si>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</si>
  <si>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</si>
  <si>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</si>
  <si>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</si>
  <si>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</si>
  <si>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</si>
  <si>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</si>
  <si>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</si>
  <si>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</si>
  <si>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</si>
  <si>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</si>
  <si>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</si>
  <si>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</si>
  <si>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</si>
  <si>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</si>
  <si>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</si>
  <si>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</si>
  <si>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</si>
  <si>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</si>
  <si>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</si>
  <si>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</si>
  <si>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</si>
  <si>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</si>
  <si>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</si>
  <si>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</si>
  <si>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</si>
  <si>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</si>
  <si>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</si>
  <si>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</si>
  <si>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</si>
  <si>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</si>
  <si>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</si>
  <si>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</si>
  <si>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</si>
  <si>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</si>
  <si>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</si>
  <si>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</si>
  <si>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</si>
  <si>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</si>
  <si>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</si>
  <si>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</si>
  <si>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</si>
  <si>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</si>
  <si>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</si>
  <si>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</si>
  <si>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</si>
  <si>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</si>
  <si>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</si>
  <si>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</si>
  <si>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</si>
  <si>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</si>
  <si>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</si>
  <si>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</si>
  <si>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</si>
  <si>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</si>
  <si>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</si>
  <si>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</si>
  <si>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</si>
  <si>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</si>
  <si>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</si>
  <si>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</si>
  <si>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</si>
  <si>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</si>
  <si>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</si>
  <si>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</si>
  <si>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</si>
  <si>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</si>
  <si>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</si>
  <si>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</si>
  <si>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</si>
  <si>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</si>
  <si>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</si>
  <si>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</si>
  <si>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</si>
  <si>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</si>
  <si>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</si>
  <si>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</si>
  <si>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</si>
  <si>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</si>
  <si>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</si>
  <si>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</si>
  <si>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</si>
  <si>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</si>
  <si>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</si>
  <si>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</si>
  <si>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</si>
  <si>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</si>
  <si>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</si>
  <si>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</si>
  <si>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</si>
  <si>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</si>
  <si>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</si>
  <si>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</si>
  <si>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</si>
  <si>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</si>
  <si>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</si>
  <si>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</si>
  <si>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</si>
  <si>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</si>
  <si>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</si>
  <si>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</si>
  <si>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</si>
  <si>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</si>
  <si>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</si>
  <si>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</si>
  <si>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</si>
  <si>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</si>
  <si>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</si>
  <si>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</si>
  <si>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</si>
  <si>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</si>
  <si>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</si>
  <si>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</si>
  <si>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</si>
  <si>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</si>
  <si>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</si>
  <si>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</si>
  <si>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</si>
  <si>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</si>
  <si>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</si>
  <si>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</si>
  <si>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</si>
  <si>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</si>
  <si>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</si>
  <si>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</si>
  <si>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</si>
  <si>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</si>
  <si>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</si>
  <si>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</si>
  <si>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</si>
  <si>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</si>
  <si>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</si>
  <si>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</si>
  <si>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</si>
  <si>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</si>
  <si>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</si>
  <si>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</si>
  <si>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</si>
  <si>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</si>
  <si>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</si>
  <si>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</si>
  <si>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</si>
  <si>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</si>
  <si>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</si>
  <si>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</si>
  <si>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</si>
  <si>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</si>
  <si>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</si>
  <si>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</si>
  <si>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</si>
  <si>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</si>
  <si>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</si>
  <si>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</si>
  <si>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</si>
  <si>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</si>
  <si>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</si>
  <si>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</si>
  <si>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</si>
  <si>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</si>
  <si>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</si>
  <si>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</si>
  <si>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</si>
  <si>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</si>
  <si>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</si>
  <si>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</si>
  <si>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</si>
  <si>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</si>
  <si>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</si>
  <si>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</si>
  <si>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</si>
  <si>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</si>
  <si>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</si>
  <si>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</si>
  <si>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</si>
  <si>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</si>
  <si>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</si>
  <si>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</si>
  <si>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</si>
  <si>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</si>
  <si>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</si>
  <si>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</si>
  <si>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</si>
  <si>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</si>
  <si>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</si>
  <si>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</si>
  <si>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</si>
  <si>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</si>
  <si>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</si>
  <si>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</si>
  <si>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</si>
  <si>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</si>
  <si>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</si>
  <si>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</si>
  <si>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</si>
  <si>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</si>
  <si>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</si>
  <si>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</si>
  <si>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</si>
  <si>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</si>
  <si>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</si>
  <si>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</si>
  <si>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</si>
  <si>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</si>
  <si>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</si>
  <si>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</si>
  <si>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</si>
  <si>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</si>
  <si>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</si>
  <si>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</si>
  <si>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</si>
  <si>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</si>
  <si>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</si>
  <si>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</si>
  <si>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</si>
  <si>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</si>
  <si>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</si>
  <si>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</si>
  <si>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</si>
  <si>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</si>
  <si>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</si>
  <si>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</si>
  <si>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</si>
  <si>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</si>
  <si>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</si>
  <si>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</si>
  <si>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</si>
  <si>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</si>
  <si>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</si>
  <si>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</si>
  <si>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</si>
  <si>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</si>
  <si>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</si>
  <si>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</si>
  <si>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</si>
  <si>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</si>
  <si>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</si>
  <si>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</si>
  <si>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</si>
  <si>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</si>
  <si>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</si>
  <si>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</si>
  <si>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</si>
  <si>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</si>
  <si>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</si>
  <si>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</si>
  <si>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</si>
  <si>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</si>
  <si>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</si>
  <si>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</si>
  <si>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</si>
  <si>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</si>
  <si>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</si>
  <si>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</si>
  <si>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</si>
  <si>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</si>
  <si>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</si>
  <si>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</si>
  <si>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</si>
  <si>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</si>
  <si>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</si>
  <si>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</si>
  <si>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</si>
  <si>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</si>
  <si>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</si>
  <si>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</si>
  <si>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</si>
  <si>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</si>
  <si>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</si>
  <si>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</si>
  <si>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</si>
  <si>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</si>
  <si>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</si>
  <si>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</si>
  <si>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</si>
  <si>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</si>
  <si>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</si>
  <si>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</si>
  <si>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</si>
  <si>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</si>
  <si>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</si>
  <si>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</si>
  <si>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</si>
  <si>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</si>
  <si>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</si>
  <si>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</si>
  <si>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</si>
  <si>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</si>
  <si>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</si>
  <si>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</si>
  <si>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</si>
  <si>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</si>
  <si>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</si>
  <si>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</si>
  <si>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</si>
  <si>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</si>
  <si>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</si>
  <si>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</si>
  <si>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</si>
  <si>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</si>
  <si>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</si>
  <si>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</si>
  <si>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</si>
  <si>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</si>
  <si>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</si>
  <si>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</si>
  <si>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</si>
  <si>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</si>
  <si>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</si>
  <si>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</si>
  <si>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</si>
  <si>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</si>
  <si>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</si>
  <si>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</si>
  <si>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</si>
  <si>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</si>
  <si>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</si>
  <si>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</si>
  <si>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</si>
  <si>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</si>
  <si>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</si>
  <si>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</si>
  <si>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</si>
  <si>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</si>
  <si>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</si>
  <si>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</si>
  <si>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</si>
  <si>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</si>
  <si>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</si>
  <si>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</si>
  <si>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</si>
  <si>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</si>
  <si>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</si>
  <si>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</si>
  <si>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</si>
  <si>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</si>
  <si>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</si>
  <si>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</si>
  <si>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</si>
  <si>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</si>
  <si>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</si>
  <si>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</si>
  <si>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</si>
  <si>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</si>
  <si>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</si>
  <si>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</si>
  <si>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</si>
  <si>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</si>
  <si>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</si>
  <si>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</si>
  <si>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</si>
  <si>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</si>
  <si>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</si>
  <si>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</si>
  <si>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</si>
  <si>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</si>
  <si>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</si>
  <si>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</si>
  <si>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</si>
  <si>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</si>
  <si>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</si>
  <si>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</si>
  <si>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</si>
  <si>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</si>
  <si>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</si>
  <si>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</si>
  <si>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</si>
  <si>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</si>
  <si>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</si>
  <si>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</si>
  <si>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</si>
  <si>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</si>
  <si>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</si>
  <si>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</si>
  <si>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</si>
  <si>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</si>
  <si>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</si>
  <si>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</si>
  <si>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</si>
  <si>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</si>
  <si>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</si>
  <si>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</si>
  <si>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</si>
  <si>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</si>
  <si>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</si>
  <si>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</si>
  <si>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</si>
  <si>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</si>
  <si>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</si>
  <si>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</si>
  <si>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</si>
  <si>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</si>
  <si>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</si>
  <si>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</si>
  <si>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</si>
  <si>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</si>
  <si>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</si>
  <si>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</si>
  <si>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</si>
  <si>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</si>
  <si>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</si>
  <si>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</si>
  <si>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</si>
  <si>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</si>
  <si>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</si>
  <si>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</si>
  <si>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</si>
  <si>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</si>
  <si>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</si>
  <si>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</si>
  <si>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</si>
  <si>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</si>
  <si>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</si>
  <si>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</si>
  <si>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</si>
  <si>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</si>
  <si>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</si>
  <si>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</si>
  <si>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</si>
  <si>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</si>
  <si>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</si>
  <si>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</si>
  <si>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</si>
  <si>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</si>
  <si>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</si>
  <si>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</si>
  <si>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</si>
  <si>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</si>
  <si>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</si>
  <si>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</si>
  <si>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</si>
  <si>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</si>
  <si>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</si>
  <si>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</si>
  <si>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</si>
  <si>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</si>
  <si>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</si>
  <si>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</si>
  <si>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</si>
  <si>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</si>
  <si>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</si>
  <si>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</si>
  <si>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</si>
  <si>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</si>
  <si>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</si>
  <si>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</si>
  <si>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</si>
  <si>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</si>
  <si>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</si>
  <si>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</si>
  <si>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</si>
  <si>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</si>
  <si>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</si>
  <si>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</si>
  <si>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</si>
  <si>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</si>
  <si>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</si>
  <si>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</si>
  <si>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</si>
  <si>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</si>
  <si>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</si>
  <si>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</si>
  <si>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</si>
  <si>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</si>
  <si>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</si>
  <si>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</si>
  <si>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</si>
  <si>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</si>
  <si>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</si>
  <si>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VALLADOLID</t>
  </si>
  <si>
    <t>Resumenes por Partidos Judiciales</t>
  </si>
  <si>
    <t>MEDINA DEL 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</si>
</sst>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gsCJumKyxxugYtHwJU03BSB/28o5ME4qA3sVhjJsnc7o2tIZ57yeCSl0A+sRHfoIcma/QuTr0xass8pJze42g==" saltValue="znwU2a3fW9r8wMyYzM7V3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18</v>
      </c>
      <c r="F10" s="226">
        <f>IF(ISNUMBER(Datos!K10),Datos!K10," - ")</f>
        <v>16</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4.125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5.7177969959035044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18</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923</v>
      </c>
      <c r="D16" s="225">
        <f>IF(ISNUMBER(IF(D_I="SI",Datos!I16,Datos!I16+Datos!AC16)),IF(D_I="SI",Datos!I16,Datos!I16+Datos!AC16)," - ")</f>
        <v>642</v>
      </c>
      <c r="E16" s="226">
        <f>IF(ISNUMBER(IF(D_I="SI",Datos!J16,Datos!J16+Datos!AD16)),IF(D_I="SI",Datos!J16,Datos!J16+Datos!AD16)," - ")</f>
        <v>2878</v>
      </c>
      <c r="F16" s="226">
        <f>IF(ISNUMBER(IF(D_I="SI",Datos!K16,Datos!K16+Datos!AE16)),IF(D_I="SI",Datos!K16,Datos!K16+Datos!AE16)," - ")</f>
        <v>3012</v>
      </c>
      <c r="G16" s="1034" t="str">
        <f>IF(Datos!E16&lt;&gt;"",Datos!E16,Datos!D16)</f>
        <v>04</v>
      </c>
      <c r="H16" s="227">
        <f>IF(ISNUMBER(IF(D_I="SI",Datos!L16,Datos!L16+Datos!AF16)),IF(D_I="SI",Datos!L16,Datos!L16+Datos!AF16)," - ")</f>
        <v>789</v>
      </c>
      <c r="I16" s="1044" t="str">
        <f>IF(ISNUMBER(Datos!AS16/Datos!BM16),Datos!AS16/Datos!BM16," - ")</f>
        <v xml:space="preserve"> - </v>
      </c>
      <c r="J16" s="1045">
        <f>IF(ISNUMBER(Datos!BY16/Datos!CN16),Datos!BY16/Datos!CN16," - ")</f>
        <v>0</v>
      </c>
      <c r="K16" s="230">
        <f t="shared" si="3"/>
        <v>-0.14517876489707476</v>
      </c>
      <c r="L16" s="1025">
        <f>IF(ISNUMBER(NºAsuntos!I16/NºAsuntos!G16),(NºAsuntos!I16/NºAsuntos!G16)*11," - ")</f>
        <v>2.8814741035856573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60</v>
      </c>
      <c r="D17" s="225">
        <f>IF(ISNUMBER(IF(D_I="SI",Datos!I17,Datos!I17+Datos!AC17)),IF(D_I="SI",Datos!I17,Datos!I17+Datos!AC17)," - ")</f>
        <v>60</v>
      </c>
      <c r="E17" s="226">
        <f>IF(ISNUMBER(IF(D_I="SI",Datos!J17,Datos!J17+Datos!AD17)),IF(D_I="SI",Datos!J17,Datos!J17+Datos!AD17)," - ")</f>
        <v>133</v>
      </c>
      <c r="F17" s="226">
        <f>IF(ISNUMBER(IF(D_I="SI",Datos!K17,Datos!K17+Datos!AE17)),IF(D_I="SI",Datos!K17,Datos!K17+Datos!AE17)," - ")</f>
        <v>143</v>
      </c>
      <c r="G17" s="1034" t="str">
        <f>IF(Datos!E17&lt;&gt;"",Datos!E17,Datos!D17)</f>
        <v>37</v>
      </c>
      <c r="H17" s="227">
        <f>IF(ISNUMBER(IF(D_I="SI",Datos!L17,Datos!L17+Datos!AF17)),IF(D_I="SI",Datos!L17,Datos!L17+Datos!AF17)," - ")</f>
        <v>50</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3.8461538461538458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983</v>
      </c>
      <c r="D18" s="1049">
        <f>SUBTOTAL(9,D15:D17)</f>
        <v>702</v>
      </c>
      <c r="E18" s="1050">
        <f>SUBTOTAL(9,E15:E17)</f>
        <v>3011</v>
      </c>
      <c r="F18" s="1050">
        <f>SUBTOTAL(9,F15:F17)</f>
        <v>3155</v>
      </c>
      <c r="G18" s="1052" t="str">
        <f ca="1">INDIRECT(CONCATENATE("G",ROW()-1))</f>
        <v>37</v>
      </c>
      <c r="H18" s="1053">
        <f ca="1">SUMIF(G$14:G17,G18,H$14:H17)</f>
        <v>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987</v>
      </c>
      <c r="D19" s="1071">
        <f>SUBTOTAL(9,D9:D18)</f>
        <v>706</v>
      </c>
      <c r="E19" s="1072">
        <f>SUBTOTAL(9,E9:E18)</f>
        <v>3029</v>
      </c>
      <c r="F19" s="1072">
        <f>SUBTOTAL(9,F9:F18)</f>
        <v>3171</v>
      </c>
      <c r="G19" s="1073"/>
      <c r="H19" s="1074">
        <f ca="1">SUMIF(B9:B18,"TOTAL",H9:H18)</f>
        <v>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GcyumePitxc5xwFGoZxypUGE21+k/jdDGljWLcjYIb1mr8v2jl20DhsXFSa2i+flx2EofOTck6cW/MXe5dYIA==" saltValue="Qv8sRi86X7yP9oXUa1q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uaYawXlJ6rd93j7/uLdN63YTcvGHAmqUzrrFjFQGyzgNydQYubboM3Pz4fTA7niac/zkIbbGbqfERjXiCMfGQ==" saltValue="dBtGob0Ph1Gi2ReCSpdl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18</v>
      </c>
      <c r="K10" s="181">
        <v>16</v>
      </c>
      <c r="L10" s="181">
        <v>6</v>
      </c>
      <c r="M10" s="181">
        <v>8</v>
      </c>
      <c r="N10" s="181">
        <v>7</v>
      </c>
      <c r="O10" s="181">
        <v>5</v>
      </c>
      <c r="P10" s="181">
        <v>11</v>
      </c>
      <c r="Q10" s="181">
        <v>9</v>
      </c>
      <c r="R10" s="181">
        <v>13</v>
      </c>
      <c r="S10" s="181">
        <v>4</v>
      </c>
      <c r="T10" s="181">
        <v>12</v>
      </c>
      <c r="U10" s="181">
        <v>12</v>
      </c>
      <c r="V10" s="181">
        <v>4</v>
      </c>
      <c r="W10" s="181">
        <v>11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12</v>
      </c>
      <c r="BA10" s="129">
        <f t="shared" si="0"/>
        <v>12</v>
      </c>
      <c r="BB10" s="129">
        <f t="shared" si="0"/>
        <v>4</v>
      </c>
      <c r="BC10" s="125">
        <f t="shared" si="0"/>
        <v>11</v>
      </c>
      <c r="BD10" s="126">
        <f>IF(ISNUMBER(BA10/AZ10),BA10/AZ10," - ")</f>
        <v>1</v>
      </c>
      <c r="BE10" s="127">
        <f>IF(ISNUMBER(BB10/BA10),BB10/BA10, " - ")</f>
        <v>0.33333333333333331</v>
      </c>
      <c r="BF10" s="127">
        <f>IF(ISNUMBER(BC10/BA10),BC10/BA10, " - ")</f>
        <v>0.91666666666666663</v>
      </c>
      <c r="BG10" s="196">
        <f>IF(ISNUMBER((AY10+AZ10)/BA10),(AY10+AZ10)/BA10," - ")</f>
        <v>1.3333333333333333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1064</v>
      </c>
      <c r="J12" s="183">
        <v>2056</v>
      </c>
      <c r="K12" s="183">
        <v>2053</v>
      </c>
      <c r="L12" s="183">
        <v>1086</v>
      </c>
      <c r="M12" s="183">
        <v>573</v>
      </c>
      <c r="N12" s="183">
        <v>988</v>
      </c>
      <c r="O12" s="181">
        <v>976</v>
      </c>
      <c r="P12" s="183">
        <v>562</v>
      </c>
      <c r="Q12" s="183">
        <v>580</v>
      </c>
      <c r="R12" s="183">
        <v>1842</v>
      </c>
      <c r="S12" s="183">
        <v>676</v>
      </c>
      <c r="T12" s="183">
        <v>1970</v>
      </c>
      <c r="U12" s="183">
        <v>1587</v>
      </c>
      <c r="V12" s="183">
        <v>1064</v>
      </c>
      <c r="W12" s="183">
        <v>362</v>
      </c>
      <c r="X12" s="189">
        <v>761</v>
      </c>
      <c r="Y12" s="191">
        <v>55</v>
      </c>
      <c r="Z12" s="181">
        <v>145</v>
      </c>
      <c r="AA12" s="181">
        <v>144</v>
      </c>
      <c r="AB12" s="181">
        <v>56</v>
      </c>
      <c r="AC12" s="183">
        <v>0</v>
      </c>
      <c r="AD12" s="183">
        <v>0</v>
      </c>
      <c r="AE12" s="183">
        <v>0</v>
      </c>
      <c r="AF12" s="189">
        <v>0</v>
      </c>
      <c r="AG12" s="202">
        <v>38</v>
      </c>
      <c r="AH12" s="183">
        <v>141</v>
      </c>
      <c r="AI12" s="183">
        <v>121</v>
      </c>
      <c r="AJ12" s="203">
        <v>55</v>
      </c>
      <c r="AK12" s="182">
        <v>0</v>
      </c>
      <c r="AL12" s="183">
        <v>0</v>
      </c>
      <c r="AM12" s="183">
        <v>0</v>
      </c>
      <c r="AN12" s="189">
        <v>0</v>
      </c>
      <c r="AO12" s="259">
        <v>3</v>
      </c>
      <c r="AP12" s="155">
        <v>3</v>
      </c>
      <c r="AQ12" s="155">
        <v>3</v>
      </c>
      <c r="AR12" s="154">
        <v>3</v>
      </c>
      <c r="AS12" s="340" t="s">
        <v>802</v>
      </c>
      <c r="AT12" s="203"/>
      <c r="AU12" s="202"/>
      <c r="AV12" s="203"/>
      <c r="AW12" s="202"/>
      <c r="AX12" s="203"/>
      <c r="AY12" s="126">
        <f t="shared" si="1"/>
        <v>714</v>
      </c>
      <c r="AZ12" s="127">
        <f t="shared" si="1"/>
        <v>2111</v>
      </c>
      <c r="BA12" s="127">
        <f t="shared" si="1"/>
        <v>1708</v>
      </c>
      <c r="BB12" s="127">
        <f t="shared" si="1"/>
        <v>1119</v>
      </c>
      <c r="BC12" s="125">
        <f>IF(ISNUMBER(X12),X12," - ")</f>
        <v>761</v>
      </c>
      <c r="BD12" s="126">
        <f t="shared" si="2"/>
        <v>0.80909521553765984</v>
      </c>
      <c r="BE12" s="127">
        <f t="shared" si="3"/>
        <v>0.65515222482435598</v>
      </c>
      <c r="BF12" s="127">
        <f t="shared" si="4"/>
        <v>0.4455503512880562</v>
      </c>
      <c r="BG12" s="196">
        <f t="shared" si="5"/>
        <v>1.6539812646370022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1068</v>
      </c>
      <c r="J13" s="184">
        <f t="shared" si="6"/>
        <v>2074</v>
      </c>
      <c r="K13" s="184">
        <f t="shared" si="6"/>
        <v>2069</v>
      </c>
      <c r="L13" s="184">
        <f t="shared" si="6"/>
        <v>1092</v>
      </c>
      <c r="M13" s="184">
        <f t="shared" si="6"/>
        <v>581</v>
      </c>
      <c r="N13" s="184">
        <f t="shared" si="6"/>
        <v>995</v>
      </c>
      <c r="O13" s="184">
        <f t="shared" si="6"/>
        <v>981</v>
      </c>
      <c r="P13" s="184">
        <f t="shared" si="6"/>
        <v>573</v>
      </c>
      <c r="Q13" s="184">
        <f t="shared" si="6"/>
        <v>589</v>
      </c>
      <c r="R13" s="184">
        <f t="shared" si="6"/>
        <v>1855</v>
      </c>
      <c r="S13" s="184">
        <f t="shared" si="6"/>
        <v>680</v>
      </c>
      <c r="T13" s="184">
        <f t="shared" si="6"/>
        <v>1982</v>
      </c>
      <c r="U13" s="184">
        <f t="shared" si="6"/>
        <v>1599</v>
      </c>
      <c r="V13" s="184">
        <f t="shared" si="6"/>
        <v>1068</v>
      </c>
      <c r="W13" s="184">
        <f t="shared" si="6"/>
        <v>373</v>
      </c>
      <c r="X13" s="184">
        <f t="shared" si="6"/>
        <v>761</v>
      </c>
      <c r="Y13" s="184">
        <f t="shared" si="6"/>
        <v>55</v>
      </c>
      <c r="Z13" s="184">
        <f t="shared" si="6"/>
        <v>145</v>
      </c>
      <c r="AA13" s="184">
        <f t="shared" si="6"/>
        <v>144</v>
      </c>
      <c r="AB13" s="184">
        <f t="shared" si="6"/>
        <v>56</v>
      </c>
      <c r="AC13" s="184">
        <f t="shared" si="6"/>
        <v>0</v>
      </c>
      <c r="AD13" s="184">
        <f t="shared" si="6"/>
        <v>0</v>
      </c>
      <c r="AE13" s="184">
        <f t="shared" si="6"/>
        <v>0</v>
      </c>
      <c r="AF13" s="184">
        <f>SUBTOTAL(9,AF9:AF12)</f>
        <v>0</v>
      </c>
      <c r="AG13" s="184">
        <f t="shared" ref="AG13:AT13" si="7">SUBTOTAL(9,AG8:AG12)</f>
        <v>38</v>
      </c>
      <c r="AH13" s="184">
        <f t="shared" si="7"/>
        <v>141</v>
      </c>
      <c r="AI13" s="184">
        <f t="shared" si="7"/>
        <v>121</v>
      </c>
      <c r="AJ13" s="184">
        <f t="shared" si="7"/>
        <v>55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718</v>
      </c>
      <c r="AZ13" s="184">
        <f>SUBTOTAL(9,AZ8:AZ12)</f>
        <v>2123</v>
      </c>
      <c r="BA13" s="184">
        <f>SUBTOTAL(9,BA8:BA12)</f>
        <v>1720</v>
      </c>
      <c r="BB13" s="184">
        <f>SUBTOTAL(9,BB8:BB12)</f>
        <v>1123</v>
      </c>
      <c r="BC13" s="184">
        <f>SUBTOTAL(9,BC8:BC12)</f>
        <v>772</v>
      </c>
      <c r="BD13" s="205">
        <f>IF(ISNUMBER(BA13/AZ13),BA13/AZ13," - ")</f>
        <v>0.81017428167687233</v>
      </c>
      <c r="BE13" s="206">
        <f>IF(ISNUMBER(BB13/BA13),BB13/BA13, " - ")</f>
        <v>0.65290697674418607</v>
      </c>
      <c r="BF13" s="206">
        <f>IF(ISNUMBER(BC13/BA13),BC13/BA13, " - ")</f>
        <v>0.44883720930232557</v>
      </c>
      <c r="BG13" s="207">
        <f>IF(ISNUMBER((AY13+AZ13)/BA13),(AY13+AZ13)/BA13," - ")</f>
        <v>1.6517441860465116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642</v>
      </c>
      <c r="J16" s="183">
        <v>2878</v>
      </c>
      <c r="K16" s="183">
        <v>3012</v>
      </c>
      <c r="L16" s="183">
        <v>789</v>
      </c>
      <c r="M16" s="183">
        <v>310</v>
      </c>
      <c r="N16" s="183">
        <v>1663</v>
      </c>
      <c r="O16" s="181">
        <v>40</v>
      </c>
      <c r="P16" s="183">
        <v>91</v>
      </c>
      <c r="Q16" s="183">
        <v>75</v>
      </c>
      <c r="R16" s="183">
        <v>88</v>
      </c>
      <c r="S16" s="183">
        <v>658</v>
      </c>
      <c r="T16" s="183">
        <v>2358</v>
      </c>
      <c r="U16" s="183">
        <v>2368</v>
      </c>
      <c r="V16" s="183">
        <v>642</v>
      </c>
      <c r="W16" s="183">
        <v>192</v>
      </c>
      <c r="X16" s="189">
        <v>1576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658</v>
      </c>
      <c r="AZ16" s="127">
        <f t="shared" si="9"/>
        <v>2358</v>
      </c>
      <c r="BA16" s="127">
        <f t="shared" si="9"/>
        <v>2368</v>
      </c>
      <c r="BB16" s="127">
        <f t="shared" si="9"/>
        <v>642</v>
      </c>
      <c r="BC16" s="125">
        <f>IF(ISNUMBER(W16),W16," - ")</f>
        <v>192</v>
      </c>
      <c r="BD16" s="126">
        <f t="shared" ref="BD16" si="11">IF(ISNUMBER(BA16/AZ16),BA16/AZ16," - ")</f>
        <v>1.0042408821034776</v>
      </c>
      <c r="BE16" s="127">
        <f t="shared" ref="BE16" si="12">IF(ISNUMBER(BB16/BA16),BB16/BA16, " - ")</f>
        <v>0.27111486486486486</v>
      </c>
      <c r="BF16" s="127">
        <f t="shared" ref="BF16" si="13">IF(ISNUMBER(BC16/BA16),BC16/BA16, " - ")</f>
        <v>8.1081081081081086E-2</v>
      </c>
      <c r="BG16" s="196">
        <f t="shared" si="10"/>
        <v>1.2736486486486487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60</v>
      </c>
      <c r="J17" s="183">
        <v>133</v>
      </c>
      <c r="K17" s="183">
        <v>143</v>
      </c>
      <c r="L17" s="183">
        <v>50</v>
      </c>
      <c r="M17" s="183">
        <v>2</v>
      </c>
      <c r="N17" s="183">
        <v>97</v>
      </c>
      <c r="O17" s="183">
        <v>1</v>
      </c>
      <c r="P17" s="183">
        <v>1</v>
      </c>
      <c r="Q17" s="183">
        <v>1</v>
      </c>
      <c r="R17" s="183">
        <v>0</v>
      </c>
      <c r="S17" s="183">
        <v>55</v>
      </c>
      <c r="T17" s="183">
        <v>100</v>
      </c>
      <c r="U17" s="183">
        <v>95</v>
      </c>
      <c r="V17" s="183">
        <v>60</v>
      </c>
      <c r="W17" s="183">
        <v>0</v>
      </c>
      <c r="X17" s="189">
        <v>99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55</v>
      </c>
      <c r="AZ17" s="129">
        <f t="shared" si="14"/>
        <v>100</v>
      </c>
      <c r="BA17" s="129">
        <f t="shared" si="14"/>
        <v>95</v>
      </c>
      <c r="BB17" s="129">
        <f t="shared" si="14"/>
        <v>60</v>
      </c>
      <c r="BC17" s="125">
        <f>IF(ISNUMBER(W17),W17," - ")</f>
        <v>0</v>
      </c>
      <c r="BD17" s="126">
        <f>IF(ISNUMBER(BA17/AZ17),BA17/AZ17," - ")</f>
        <v>0.95</v>
      </c>
      <c r="BE17" s="127">
        <f>IF(ISNUMBER(BB17/BA17),BB17/BA17, " - ")</f>
        <v>0.63157894736842102</v>
      </c>
      <c r="BF17" s="127">
        <f>IF(ISNUMBER(BC17/BA17),BC17/BA17, " - ")</f>
        <v>0</v>
      </c>
      <c r="BG17" s="196">
        <f>IF(ISNUMBER((AY17+AZ17)/BA17),(AY17+AZ17)/BA17," - ")</f>
        <v>1.631578947368421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702</v>
      </c>
      <c r="J18" s="184">
        <f t="shared" si="15"/>
        <v>3011</v>
      </c>
      <c r="K18" s="184">
        <f t="shared" si="15"/>
        <v>3155</v>
      </c>
      <c r="L18" s="184">
        <f t="shared" si="15"/>
        <v>839</v>
      </c>
      <c r="M18" s="184">
        <f t="shared" si="15"/>
        <v>312</v>
      </c>
      <c r="N18" s="184">
        <f t="shared" si="15"/>
        <v>1760</v>
      </c>
      <c r="O18" s="184">
        <f t="shared" si="15"/>
        <v>41</v>
      </c>
      <c r="P18" s="184">
        <f t="shared" si="15"/>
        <v>92</v>
      </c>
      <c r="Q18" s="184">
        <f t="shared" si="15"/>
        <v>76</v>
      </c>
      <c r="R18" s="184">
        <f t="shared" si="15"/>
        <v>88</v>
      </c>
      <c r="S18" s="184">
        <f t="shared" si="15"/>
        <v>713</v>
      </c>
      <c r="T18" s="184">
        <f t="shared" si="15"/>
        <v>2458</v>
      </c>
      <c r="U18" s="184">
        <f t="shared" si="15"/>
        <v>2463</v>
      </c>
      <c r="V18" s="184">
        <f t="shared" si="15"/>
        <v>702</v>
      </c>
      <c r="W18" s="184">
        <f t="shared" si="15"/>
        <v>192</v>
      </c>
      <c r="X18" s="184">
        <f t="shared" si="15"/>
        <v>1675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713</v>
      </c>
      <c r="AZ18" s="184">
        <f>SUBTOTAL(9,AZ14:AZ17)</f>
        <v>2458</v>
      </c>
      <c r="BA18" s="184">
        <f>SUBTOTAL(9,BA14:BA17)</f>
        <v>2463</v>
      </c>
      <c r="BB18" s="184">
        <f>SUBTOTAL(9,BB14:BB17)</f>
        <v>702</v>
      </c>
      <c r="BC18" s="184">
        <f>SUBTOTAL(9,BC14:BC17)</f>
        <v>192</v>
      </c>
      <c r="BD18" s="205">
        <f>IF(ISNUMBER(BA18/AZ18),BA18/AZ18," - ")</f>
        <v>1.0020341741253052</v>
      </c>
      <c r="BE18" s="206">
        <f>IF(ISNUMBER(BB18/BA18),BB18/BA18, " - ")</f>
        <v>0.28501827040194883</v>
      </c>
      <c r="BF18" s="206">
        <f>IF(ISNUMBER(BC18/BA18),BC18/BA18, " - ")</f>
        <v>7.7953714981729594E-2</v>
      </c>
      <c r="BG18" s="207">
        <f>IF(ISNUMBER((AY18+AZ18)/BA18),(AY18+AZ18)/BA18," - ")</f>
        <v>1.2874543239951279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1770</v>
      </c>
      <c r="J19" s="134">
        <f t="shared" si="18"/>
        <v>5085</v>
      </c>
      <c r="K19" s="134">
        <f t="shared" si="18"/>
        <v>5224</v>
      </c>
      <c r="L19" s="134">
        <f t="shared" si="18"/>
        <v>1931</v>
      </c>
      <c r="M19" s="134">
        <f t="shared" si="18"/>
        <v>893</v>
      </c>
      <c r="N19" s="134">
        <f t="shared" si="18"/>
        <v>2755</v>
      </c>
      <c r="O19" s="134">
        <f t="shared" si="18"/>
        <v>1022</v>
      </c>
      <c r="P19" s="134">
        <f t="shared" si="18"/>
        <v>665</v>
      </c>
      <c r="Q19" s="134">
        <f t="shared" si="18"/>
        <v>665</v>
      </c>
      <c r="R19" s="134">
        <f t="shared" si="18"/>
        <v>1943</v>
      </c>
      <c r="S19" s="134">
        <f t="shared" si="18"/>
        <v>1393</v>
      </c>
      <c r="T19" s="134">
        <f t="shared" si="18"/>
        <v>4440</v>
      </c>
      <c r="U19" s="134">
        <f t="shared" si="18"/>
        <v>4062</v>
      </c>
      <c r="V19" s="134">
        <f t="shared" si="18"/>
        <v>1770</v>
      </c>
      <c r="W19" s="134">
        <f t="shared" si="18"/>
        <v>565</v>
      </c>
      <c r="X19" s="134">
        <f t="shared" si="18"/>
        <v>2436</v>
      </c>
      <c r="Y19" s="134">
        <f t="shared" si="18"/>
        <v>55</v>
      </c>
      <c r="Z19" s="134">
        <f t="shared" si="18"/>
        <v>145</v>
      </c>
      <c r="AA19" s="134">
        <f t="shared" si="18"/>
        <v>144</v>
      </c>
      <c r="AB19" s="134">
        <f t="shared" si="18"/>
        <v>56</v>
      </c>
      <c r="AC19" s="134">
        <f t="shared" si="18"/>
        <v>0</v>
      </c>
      <c r="AD19" s="134">
        <f t="shared" si="18"/>
        <v>0</v>
      </c>
      <c r="AE19" s="134">
        <f t="shared" si="18"/>
        <v>0</v>
      </c>
      <c r="AF19" s="134">
        <f t="shared" si="18"/>
        <v>0</v>
      </c>
      <c r="AG19" s="134">
        <f t="shared" si="18"/>
        <v>38</v>
      </c>
      <c r="AH19" s="134">
        <f t="shared" si="18"/>
        <v>141</v>
      </c>
      <c r="AI19" s="134">
        <f t="shared" si="18"/>
        <v>121</v>
      </c>
      <c r="AJ19" s="134">
        <f t="shared" si="18"/>
        <v>55</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1431</v>
      </c>
      <c r="AZ19" s="134">
        <f>SUBTOTAL(9,AZ9:AZ18)</f>
        <v>4581</v>
      </c>
      <c r="BA19" s="134">
        <f>SUBTOTAL(9,BA9:BA18)</f>
        <v>4183</v>
      </c>
      <c r="BB19" s="134">
        <f>SUBTOTAL(9,BB9:BB18)</f>
        <v>1825</v>
      </c>
      <c r="BC19" s="135">
        <f>SUBTOTAL(9,BC9:BC18)</f>
        <v>964</v>
      </c>
      <c r="BD19" s="213">
        <f>IF(ISNUMBER(BA19/AZ19),BA19/AZ19," - ")</f>
        <v>0.91311940624317833</v>
      </c>
      <c r="BE19" s="210">
        <f>IF(ISNUMBER(BB19/BA19),BB19/BA19, " - ")</f>
        <v>0.43628974420272532</v>
      </c>
      <c r="BF19" s="210">
        <f>IF(ISNUMBER(BC19/BA19),BC19/BA19, " - ")</f>
        <v>0.23045661008845325</v>
      </c>
      <c r="BG19" s="135">
        <f>IF(ISNUMBER((AY19+AZ19)/BA19),(AY19+AZ19)/BA19," - ")</f>
        <v>1.4372459956968682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VWhpph3rfdVMj5LsQz0BzqoU2uTU4GENevsLG0O/31Mha40Ybs8m/H8AUl2c8I12jOWme5TXoisJaI6Zp++CA==" saltValue="Xf99tifhMK7jY02X/NI49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TBjcDfcGmf5S122CSsRAEUf9Vfw48+14URgrNC5yBmSssAsacKHdJmyC7sbf7hy1K2RBGSavmOO9CrIKMybYQ==" saltValue="cG88c/bimcFgR1LxaGV+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DEL CAMPO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9</v>
      </c>
      <c r="AD10" s="334"/>
      <c r="AE10" s="484"/>
      <c r="AF10" s="332">
        <f>IF(ISNUMBER(Datos!L10),Datos!L10,"-")</f>
        <v>6</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7</v>
      </c>
      <c r="BE10" s="229" t="str">
        <f>IF(ISNUMBER(Datos!BW10),Datos!BW10," - ")</f>
        <v xml:space="preserve"> - </v>
      </c>
      <c r="BF10" s="228" t="str">
        <f>IF(ISNUMBER(Datos!BX10),Datos!BX10," - ")</f>
        <v xml:space="preserve"> - </v>
      </c>
      <c r="BG10" s="243">
        <f>IF(ISNUMBER(Datos!K10/Datos!J10),Datos!K10/Datos!J10," - ")</f>
        <v>0.88888888888888884</v>
      </c>
      <c r="BH10" s="260">
        <f>IF(ISNUMBER(((Datos!L10/Datos!K10)*11)/factor_trimestre),((Datos!L10/Datos!K10)*11)/factor_trimestre," - ")</f>
        <v>4.125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0.18181818181818182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145</v>
      </c>
      <c r="O12" s="334"/>
      <c r="P12" s="334"/>
      <c r="Q12" s="226">
        <f>IF(ISNUMBER(Datos!P12),Datos!P12,0)</f>
        <v>562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580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56</v>
      </c>
      <c r="AI12" s="334" t="str">
        <f>IF(ISNUMBER(Datos!CD12),Datos!CD12,"-")</f>
        <v>-</v>
      </c>
      <c r="AJ12" s="334" t="str">
        <f>IF(ISNUMBER(Datos!EN12),Datos!EN12," - ")</f>
        <v xml:space="preserve"> - </v>
      </c>
      <c r="AK12" s="334"/>
      <c r="AL12" s="479"/>
      <c r="AM12" s="335">
        <f>IF(ISNUMBER(Datos!R12),Datos!R12," - ")</f>
        <v>1842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573</v>
      </c>
      <c r="BD12" s="229">
        <f>IF(ISNUMBER(Datos!N12),Datos!N12," - ")</f>
        <v>988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0.99818264425261249</v>
      </c>
      <c r="BH12" s="260">
        <f>IF(ISNUMBER(((IF(J_V="SI",Datos!L12/Datos!K12,(Datos!L12+Datos!AB12)/(Datos!K12+Datos!AA12)))*11)/factor_trimestre),((IF(J_V="SI",Datos!L12/Datos!K12,(Datos!L12+Datos!AB12)/(Datos!K12+Datos!AA12)))*11)/factor_trimestre," - ")</f>
        <v>5.7177969959035044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-9.6774193548387101E-3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145</v>
      </c>
      <c r="O13" s="900">
        <f t="shared" si="0"/>
        <v>0</v>
      </c>
      <c r="P13" s="900">
        <f t="shared" si="0"/>
        <v>0</v>
      </c>
      <c r="Q13" s="899">
        <f t="shared" si="0"/>
        <v>573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589</v>
      </c>
      <c r="AD13" s="899">
        <f t="shared" si="1"/>
        <v>0</v>
      </c>
      <c r="AE13" s="899">
        <f t="shared" si="1"/>
        <v>0</v>
      </c>
      <c r="AF13" s="899">
        <f t="shared" si="1"/>
        <v>6</v>
      </c>
      <c r="AG13" s="899">
        <f t="shared" si="1"/>
        <v>0</v>
      </c>
      <c r="AH13" s="899">
        <f t="shared" si="1"/>
        <v>56</v>
      </c>
      <c r="AI13" s="899">
        <f t="shared" si="1"/>
        <v>0</v>
      </c>
      <c r="AJ13" s="899">
        <f t="shared" si="1"/>
        <v>0</v>
      </c>
      <c r="AK13" s="899">
        <f t="shared" si="1"/>
        <v>0</v>
      </c>
      <c r="AL13" s="899">
        <f t="shared" si="1"/>
        <v>0</v>
      </c>
      <c r="AM13" s="899">
        <f t="shared" si="1"/>
        <v>1855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581</v>
      </c>
      <c r="BD13" s="899">
        <f t="shared" si="1"/>
        <v>995</v>
      </c>
      <c r="BE13" s="899">
        <f t="shared" si="1"/>
        <v>0</v>
      </c>
      <c r="BF13" s="899">
        <f t="shared" si="1"/>
        <v>0</v>
      </c>
      <c r="BG13" s="899">
        <f>IF(ISNUMBER(Datos!K13/Datos!J13),Datos!K13/Datos!J13," - ")</f>
        <v>0.99758919961427195</v>
      </c>
      <c r="BH13" s="903">
        <f>IF(ISNUMBER(((Datos!L13/Datos!K13)*11)/factor_trimestre),((Datos!L13/Datos!K13)*11)/factor_trimestre," - ")</f>
        <v>5.8057032382793619</v>
      </c>
      <c r="BI13" s="899">
        <f>IF(ISNUMBER('Resol  Asuntos'!D13/NºAsuntos!G13),'Resol  Asuntos'!D13/NºAsuntos!G13," - ")</f>
        <v>0.26253953908721195</v>
      </c>
      <c r="BJ13" s="899" t="str">
        <f>IF(ISNUMBER(Datos!CI13/Datos!CJ13),Datos!CI13/Datos!CJ13," - ")</f>
        <v xml:space="preserve"> - </v>
      </c>
      <c r="BK13" s="899">
        <f>SUBTOTAL(9,BK8:BK12)</f>
        <v>0</v>
      </c>
      <c r="BL13" s="899">
        <f>IF(ISNUMBER((I13-AB13+L13)/(F13)),(I13-AB13+L13)/(F13)," - ")</f>
        <v>-4</v>
      </c>
      <c r="BM13" s="904">
        <f>SUBTOTAL(9,BM9:BM12)</f>
        <v>0.17214076246334312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923</v>
      </c>
      <c r="G16" s="598">
        <f>IF(ISNUMBER(IF(D_I="SI",Datos!I16,Datos!I16+Datos!AC16)),IF(D_I="SI",Datos!I16,Datos!I16+Datos!AC16)," - ")</f>
        <v>642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3012</v>
      </c>
      <c r="AC16" s="226">
        <f>IF(ISNUMBER(Datos!Q16),Datos!Q16," - ")</f>
        <v>75</v>
      </c>
      <c r="AD16" s="334"/>
      <c r="AE16" s="484"/>
      <c r="AF16" s="596">
        <f>IF(ISNUMBER(IF(D_I="SI",Datos!L16,Datos!L16+Datos!AF16)),IF(D_I="SI",Datos!L16,Datos!L16+Datos!AF16)," - ")</f>
        <v>789</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310</v>
      </c>
      <c r="BD16" s="229">
        <f>IF(ISNUMBER(Datos!N16),Datos!N16," - ")</f>
        <v>1663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1.0465601111883251</v>
      </c>
      <c r="BH16" s="260">
        <f>IF(ISNUMBER(((IF(D_I="SI",Datos!L16/Datos!K16,(Datos!L16+Datos!AF16)/(Datos!K16+Datos!AE16)))*11)/factor_trimestre),((IF(D_I="SI",Datos!L16/Datos!K16,(Datos!L16+Datos!AF16)/(Datos!K16+Datos!AE16)))*11)/factor_trimestre," - ")</f>
        <v>2.8814741035856573</v>
      </c>
      <c r="BI16" s="243">
        <f>IF(ISNUMBER('Resol  Asuntos'!D16/NºAsuntos!G16),'Resol  Asuntos'!D16/NºAsuntos!G16," - ")</f>
        <v>0.10292164674634795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143</v>
      </c>
      <c r="AC17" s="226">
        <f>IF(ISNUMBER(Datos!Q17),Datos!Q17," - ")</f>
        <v>1</v>
      </c>
      <c r="AD17" s="334"/>
      <c r="AE17" s="484"/>
      <c r="AF17" s="332">
        <f>IF(ISNUMBER(Datos!L17),Datos!L17,"-")</f>
        <v>50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97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1.0751879699248121</v>
      </c>
      <c r="BH17" s="260">
        <f>IF(ISNUMBER(((IF(D_I="SI",Datos!L17/Datos!K17,(Datos!L17+Datos!AF17)/(Datos!K17+Datos!AE17)))*11)/factor_trimestre),((IF(D_I="SI",Datos!L17/Datos!K17,(Datos!L17+Datos!AF17)/(Datos!K17+Datos!AE17)))*11)/factor_trimestre," - ")</f>
        <v>3.8461538461538458</v>
      </c>
      <c r="BI17" s="243">
        <f>IF(ISNUMBER('Resol  Asuntos'!D17/NºAsuntos!G17),'Resol  Asuntos'!D17/NºAsuntos!G17," - ")</f>
        <v>1.3986013986013986E-2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923</v>
      </c>
      <c r="G18" s="898">
        <f>SUBTOTAL(9,G15:G17)</f>
        <v>702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3155</v>
      </c>
      <c r="AC18" s="899">
        <f t="shared" si="4"/>
        <v>76</v>
      </c>
      <c r="AD18" s="899">
        <f t="shared" si="4"/>
        <v>0</v>
      </c>
      <c r="AE18" s="899">
        <f t="shared" si="4"/>
        <v>0</v>
      </c>
      <c r="AF18" s="899">
        <f t="shared" si="4"/>
        <v>839</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312</v>
      </c>
      <c r="BD18" s="899">
        <f t="shared" si="4"/>
        <v>1760</v>
      </c>
      <c r="BE18" s="899">
        <f t="shared" si="4"/>
        <v>0</v>
      </c>
      <c r="BF18" s="899">
        <f t="shared" si="4"/>
        <v>0</v>
      </c>
      <c r="BG18" s="899">
        <f>IF(ISNUMBER(Datos!K18/Datos!J18),Datos!K18/Datos!J18," - ")</f>
        <v>1.0478246429757556</v>
      </c>
      <c r="BH18" s="903">
        <f>IF(ISNUMBER(((Datos!L18/Datos!K18)*11)/factor_trimestre),((Datos!L18/Datos!K18)*11)/factor_trimestre," - ")</f>
        <v>2.9251980982567356</v>
      </c>
      <c r="BI18" s="899">
        <f>SUBTOTAL(9,BI15:BI17)</f>
        <v>0.11690766073236193</v>
      </c>
      <c r="BJ18" s="899">
        <f>SUBTOTAL(9,BJ15:BJ17)</f>
        <v>0</v>
      </c>
      <c r="BK18" s="899">
        <f>SUBTOTAL(9,BK15:BK17)</f>
        <v>0</v>
      </c>
      <c r="BL18" s="899">
        <f>IF(ISNUMBER((I18-AB18+L18)/(F18)),(I18-AB18+L18)/(F18)," - ")</f>
        <v>-3.4182015167930659</v>
      </c>
      <c r="BM18" s="905">
        <f>IF(ISNUMBER((Datos!P18-Datos!Q18)/(Datos!R18-Datos!P18+Datos!Q18)),(Datos!P18-Datos!Q18)/(Datos!R18-Datos!P18+Datos!Q18)," - ")</f>
        <v>0.22222222222222221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927</v>
      </c>
      <c r="G19" s="820">
        <f t="shared" si="6"/>
        <v>706</v>
      </c>
      <c r="H19" s="822">
        <f t="shared" si="6"/>
        <v>0</v>
      </c>
      <c r="I19" s="820">
        <f t="shared" si="6"/>
        <v>0</v>
      </c>
      <c r="J19" s="822">
        <f t="shared" si="6"/>
        <v>0</v>
      </c>
      <c r="K19" s="822">
        <f t="shared" si="6"/>
        <v>0</v>
      </c>
      <c r="L19" s="881">
        <f t="shared" si="6"/>
        <v>0</v>
      </c>
      <c r="M19" s="881">
        <f t="shared" si="6"/>
        <v>0</v>
      </c>
      <c r="N19" s="881">
        <f t="shared" si="6"/>
        <v>145</v>
      </c>
      <c r="O19" s="881">
        <f t="shared" si="6"/>
        <v>0</v>
      </c>
      <c r="P19" s="881">
        <f t="shared" si="6"/>
        <v>0</v>
      </c>
      <c r="Q19" s="822">
        <f t="shared" si="6"/>
        <v>665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3171</v>
      </c>
      <c r="AC19" s="821">
        <f t="shared" si="7"/>
        <v>665</v>
      </c>
      <c r="AD19" s="821">
        <f t="shared" si="7"/>
        <v>0</v>
      </c>
      <c r="AE19" s="821">
        <f t="shared" si="7"/>
        <v>0</v>
      </c>
      <c r="AF19" s="828">
        <f t="shared" si="7"/>
        <v>845</v>
      </c>
      <c r="AG19" s="828">
        <f t="shared" si="7"/>
        <v>0</v>
      </c>
      <c r="AH19" s="828">
        <f t="shared" si="7"/>
        <v>56</v>
      </c>
      <c r="AI19" s="828">
        <f t="shared" si="7"/>
        <v>0</v>
      </c>
      <c r="AJ19" s="821">
        <f t="shared" si="7"/>
        <v>0</v>
      </c>
      <c r="AK19" s="828">
        <f t="shared" si="7"/>
        <v>0</v>
      </c>
      <c r="AL19" s="828">
        <f t="shared" si="7"/>
        <v>0</v>
      </c>
      <c r="AM19" s="828">
        <f t="shared" si="7"/>
        <v>1943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893</v>
      </c>
      <c r="BD19" s="820">
        <f t="shared" si="7"/>
        <v>2755</v>
      </c>
      <c r="BE19" s="820">
        <f t="shared" si="7"/>
        <v>0</v>
      </c>
      <c r="BF19" s="830">
        <f t="shared" si="7"/>
        <v>0</v>
      </c>
      <c r="BG19" s="915">
        <f>IF(ISNUMBER(Datos!K19/Datos!J19),Datos!K19/Datos!J19," - ")</f>
        <v>1.0273352999016716</v>
      </c>
      <c r="BH19" s="915">
        <f>IF(ISNUMBER(((Datos!L19/Datos!K19)*11)/factor_trimestre),((Datos!L19/Datos!K19)*11)/factor_trimestre," - ")</f>
        <v>4.0660413476263395</v>
      </c>
      <c r="BI19" s="813">
        <f>IF(ISNUMBER(Datos!J19/Datos!I19),Datos!J19/Datos!I19," - ")</f>
        <v>2.8728813559322033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-3.4207119741100325</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282.39999999999998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530.584897385266</v>
      </c>
      <c r="G21" s="552">
        <f>IF(ISNUMBER(STDEV(G8:G18)),STDEV(G8:G18),"-")</f>
        <v>357.01932720792581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1658.5337801805545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256.03489345529971</v>
      </c>
      <c r="BD21" s="551"/>
      <c r="BE21" s="551">
        <f>IF(ISNUMBER(STDEV(BE8:BE18)),STDEV(BE8:BE18),"-")</f>
        <v>0</v>
      </c>
      <c r="BF21" s="556">
        <f>IF(ISNUMBER(STDEV(BF8:BF18)),STDEV(BF8:BF18),"-")</f>
        <v>0</v>
      </c>
      <c r="BG21" s="775">
        <f>IF(ISNUMBER(STDEV(BG8:BG18)),STDEV(BG8:BG18),"-")</f>
        <v>6.6291558583145685E-2</v>
      </c>
      <c r="BH21" s="776">
        <f>IF(ISNUMBER(STDEV(BH8:BH18)),STDEV(BH8:BH18),"-")</f>
        <v>1.294197973244152</v>
      </c>
      <c r="BI21" s="249">
        <f>IF(ISNUMBER(STDEV(BI8:BI18)),STDEV(BI8:BI18),"-")</f>
        <v>0.10294148464030885</v>
      </c>
      <c r="BJ21" s="230" t="str">
        <f>IF(ISNUMBER(BL21/BM21),BL21/BM21," - ")</f>
        <v xml:space="preserve"> - </v>
      </c>
      <c r="BK21" s="575"/>
      <c r="BL21" s="559">
        <f>IF(ISNUMBER(STDEV(BL8:BL18)),STDEV(BL8:BL18),"-")</f>
        <v>0.41139365275967077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J4oJlnCgsb+m+n1KVe8LfthH+WaA9+ajX2tkxo41ggfKaY6xzEKxXwxPN/3cBhI6r3BKj5Pdt/Iqs2en0S2mQ==" saltValue="HU29TAXhq/JTgaHZCZKPE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VALLADOLID  Resumenes por Partidos Judiciales  MEDINA DEL CAMPO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9</v>
      </c>
      <c r="AA10" s="332">
        <f>IF(ISNUMBER(Datos!L10),Datos!L10,"-")</f>
        <v>6</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8</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0.18181818181818182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580</v>
      </c>
      <c r="AA12" s="332" t="str">
        <f>IF(ISNUMBER(IF(J_V="SI",Datos!L12,Datos!L12+Datos!AB12)-IF(Monitorios="SI",Datos!CD12,0)),
                          IF(J_V="SI",Datos!L12,Datos!L12+Datos!AB12)-IF(Monitorios="SI",Datos!CD12,0),
                          " - ")</f>
        <v xml:space="preserve"> - </v>
      </c>
      <c r="AB12" s="334"/>
      <c r="AC12" s="334"/>
      <c r="AD12" s="484"/>
      <c r="AE12" s="484">
        <f>IF(ISNUMBER(Datos!R12),Datos!R12," - ")</f>
        <v>1842</v>
      </c>
      <c r="AF12" s="229" t="str">
        <f>IF(ISNUMBER(Datos!BV12),Datos!BV12," - ")</f>
        <v xml:space="preserve"> - </v>
      </c>
      <c r="AG12" s="225" t="str">
        <f>IF(ISNUMBER(Datos!DV12),Datos!DV12," - ")</f>
        <v xml:space="preserve"> - </v>
      </c>
      <c r="AH12" s="298"/>
      <c r="AI12" s="227"/>
      <c r="AJ12" s="225">
        <f>IF(ISNUMBER(Datos!M12),Datos!M12," - ")</f>
        <v>573</v>
      </c>
      <c r="AK12" s="229">
        <f>IF(ISNUMBER(Datos!N12),Datos!N12," - ")</f>
        <v>988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5.7177969959035044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-9.6774193548387101E-3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573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589</v>
      </c>
      <c r="AA13" s="900">
        <f t="shared" si="2"/>
        <v>6</v>
      </c>
      <c r="AB13" s="900">
        <f t="shared" si="2"/>
        <v>0</v>
      </c>
      <c r="AC13" s="900">
        <f t="shared" si="2"/>
        <v>0</v>
      </c>
      <c r="AD13" s="900">
        <f t="shared" si="2"/>
        <v>0</v>
      </c>
      <c r="AE13" s="900">
        <f t="shared" si="2"/>
        <v>1855</v>
      </c>
      <c r="AF13" s="908">
        <f t="shared" si="2"/>
        <v>0</v>
      </c>
      <c r="AG13" s="908">
        <f t="shared" si="2"/>
        <v>0</v>
      </c>
      <c r="AH13" s="908">
        <f t="shared" si="2"/>
        <v>0</v>
      </c>
      <c r="AI13" s="908">
        <f t="shared" si="2"/>
        <v>0</v>
      </c>
      <c r="AJ13" s="908">
        <f t="shared" si="2"/>
        <v>581</v>
      </c>
      <c r="AK13" s="908">
        <f t="shared" si="2"/>
        <v>995</v>
      </c>
      <c r="AL13" s="908">
        <f t="shared" si="2"/>
        <v>0</v>
      </c>
      <c r="AM13" s="908">
        <f t="shared" si="2"/>
        <v>0</v>
      </c>
      <c r="AN13" s="908">
        <f t="shared" si="2"/>
        <v>0</v>
      </c>
      <c r="AO13" s="904">
        <f>IF(ISNUMBER(((NºAsuntos!I13/NºAsuntos!G13)*11)/factor_trimestre),((NºAsuntos!I13/NºAsuntos!G13)*11)/factor_trimestre," - ")</f>
        <v>5.7062810664256665</v>
      </c>
      <c r="AP13" s="910" t="str">
        <f>IF(ISNUMBER(Datos!CI13/Datos!CJ13),Datos!CI13/Datos!CJ13," - ")</f>
        <v xml:space="preserve"> - </v>
      </c>
      <c r="AQ13" s="928">
        <f t="shared" ref="AQ13:AV13" si="3">SUBTOTAL(9,AQ9:AQ12)</f>
        <v>0</v>
      </c>
      <c r="AR13" s="928">
        <f t="shared" si="3"/>
        <v>0.17214076246334312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923</v>
      </c>
      <c r="G16" s="225">
        <f>IF(ISNUMBER(IF(D_I="SI",Datos!I16,Datos!I16+Datos!AC16)),IF(D_I="SI",Datos!I16,Datos!I16+Datos!AC16)," - ")</f>
        <v>642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3012</v>
      </c>
      <c r="Z16" s="619">
        <f>IF(ISNUMBER(Datos!Q16),Datos!Q16," - ")</f>
        <v>75</v>
      </c>
      <c r="AA16" s="332">
        <f>IF(ISNUMBER(IF(D_I="SI",Datos!L16,Datos!L16+Datos!AF16)),IF(D_I="SI",Datos!L16,Datos!L16+Datos!AF16)," - ")</f>
        <v>789</v>
      </c>
      <c r="AB16" s="334"/>
      <c r="AC16" s="334"/>
      <c r="AD16" s="484"/>
      <c r="AE16" s="484">
        <f>IF(ISNUMBER(Datos!R16),Datos!R16," - ")</f>
        <v>88</v>
      </c>
      <c r="AF16" s="229" t="str">
        <f>IF(ISNUMBER(Datos!BV16),Datos!BV16," - ")</f>
        <v xml:space="preserve"> - </v>
      </c>
      <c r="AG16" s="225"/>
      <c r="AH16" s="298"/>
      <c r="AI16" s="227"/>
      <c r="AJ16" s="225">
        <f>IF(ISNUMBER(Datos!M16),Datos!M16," - ")</f>
        <v>310</v>
      </c>
      <c r="AK16" s="229">
        <f>IF(ISNUMBER(Datos!N16),Datos!N16," - ")</f>
        <v>1663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2.8814741035856573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143</v>
      </c>
      <c r="Z17" s="619">
        <f>IF(ISNUMBER(Datos!Q17),Datos!Q17," - ")</f>
        <v>1</v>
      </c>
      <c r="AA17" s="332">
        <f>IF(ISNUMBER(Datos!L17),Datos!L17,"-")</f>
        <v>50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97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3.8461538461538458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923</v>
      </c>
      <c r="G18" s="898">
        <f>SUBTOTAL(9,G15:G17)</f>
        <v>702</v>
      </c>
      <c r="H18" s="932">
        <f>SUBTOTAL(9,H15:H17)</f>
        <v>0</v>
      </c>
      <c r="I18" s="911">
        <f>SUBTOTAL(9,I15:I17)</f>
        <v>0</v>
      </c>
      <c r="J18" s="867">
        <f>SUBTOTAL(9,J14:J17)</f>
        <v>0</v>
      </c>
      <c r="K18" s="932">
        <f t="shared" ref="K18:S18" si="4">SUBTOTAL(9,K15:K17)</f>
        <v>0</v>
      </c>
      <c r="L18" s="932">
        <f t="shared" si="4"/>
        <v>0</v>
      </c>
      <c r="M18" s="932">
        <f t="shared" si="4"/>
        <v>0</v>
      </c>
      <c r="N18" s="932">
        <f t="shared" si="4"/>
        <v>92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3155</v>
      </c>
      <c r="Z18" s="932">
        <f t="shared" si="5"/>
        <v>76</v>
      </c>
      <c r="AA18" s="932">
        <f t="shared" si="5"/>
        <v>839</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312</v>
      </c>
      <c r="AK18" s="932">
        <f t="shared" si="5"/>
        <v>1760</v>
      </c>
      <c r="AL18" s="932">
        <f t="shared" si="5"/>
        <v>0</v>
      </c>
      <c r="AM18" s="932">
        <f t="shared" si="5"/>
        <v>0</v>
      </c>
      <c r="AN18" s="932">
        <f t="shared" si="5"/>
        <v>0</v>
      </c>
      <c r="AO18" s="934">
        <f>IF(ISNUMBER(((NºAsuntos!I18/NºAsuntos!G18)*11)/factor_trimestre),((NºAsuntos!I18/NºAsuntos!G18)*11)/factor_trimestre," - ")</f>
        <v>2.9251980982567356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927</v>
      </c>
      <c r="G19" s="820">
        <f t="shared" si="7"/>
        <v>706</v>
      </c>
      <c r="H19" s="821">
        <f t="shared" si="7"/>
        <v>0</v>
      </c>
      <c r="I19" s="820">
        <f t="shared" si="7"/>
        <v>0</v>
      </c>
      <c r="J19" s="822">
        <f t="shared" si="7"/>
        <v>0</v>
      </c>
      <c r="K19" s="820">
        <f t="shared" si="7"/>
        <v>0</v>
      </c>
      <c r="L19" s="823">
        <f t="shared" si="7"/>
        <v>0</v>
      </c>
      <c r="M19" s="820">
        <f t="shared" si="7"/>
        <v>0</v>
      </c>
      <c r="N19" s="821">
        <f t="shared" si="7"/>
        <v>665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3171</v>
      </c>
      <c r="Z19" s="827">
        <f t="shared" si="8"/>
        <v>665</v>
      </c>
      <c r="AA19" s="828">
        <f t="shared" si="8"/>
        <v>845</v>
      </c>
      <c r="AB19" s="828">
        <f t="shared" si="8"/>
        <v>0</v>
      </c>
      <c r="AC19" s="828">
        <f t="shared" si="8"/>
        <v>0</v>
      </c>
      <c r="AD19" s="829">
        <f t="shared" si="8"/>
        <v>0</v>
      </c>
      <c r="AE19" s="829">
        <f t="shared" si="8"/>
        <v>1943</v>
      </c>
      <c r="AF19" s="830">
        <f t="shared" si="8"/>
        <v>0</v>
      </c>
      <c r="AG19" s="831">
        <f t="shared" si="8"/>
        <v>0</v>
      </c>
      <c r="AH19" s="832">
        <f t="shared" si="8"/>
        <v>0</v>
      </c>
      <c r="AI19" s="830">
        <f t="shared" si="8"/>
        <v>0</v>
      </c>
      <c r="AJ19" s="820">
        <f t="shared" si="8"/>
        <v>893</v>
      </c>
      <c r="AK19" s="820">
        <f t="shared" si="8"/>
        <v>2755</v>
      </c>
      <c r="AL19" s="820">
        <f t="shared" si="8"/>
        <v>0</v>
      </c>
      <c r="AM19" s="833">
        <f t="shared" si="8"/>
        <v>0</v>
      </c>
      <c r="AN19" s="823">
        <f>IF(ISNUMBER(Datos!K19/Datos!J19),Datos!K19/Datos!J19," - ")</f>
        <v>1.0273352999016716</v>
      </c>
      <c r="AO19" s="823">
        <f>IF(ISNUMBER(FIND("06",Criterios!A8,1)),(IF(ISNUMBER(((Datos!R19/Datos!Q19)*11)/factor_trimestre),((Datos!R19/Datos!Q19)*11)/factor_trimestre," - ")),(IF(ISNUMBER(((Datos!L19/Datos!K19)*11)/factor_trimestre),((Datos!L19/Datos!K19)*11)/factor_trimestre," - ")))</f>
        <v>4.0660413476263395</v>
      </c>
      <c r="AP19" s="834" t="str">
        <f>IF(ISNUMBER(Datos!CI19/Datos!CJ19),Datos!CI19/Datos!CJ19," - ")</f>
        <v xml:space="preserve"> - </v>
      </c>
      <c r="AQ19" s="834">
        <f>IF(OR(ISNUMBER(FIND("01",Criterios!A8,1)),ISNUMBER(FIND("02",Criterios!A8,1)),ISNUMBER(FIND("03",Criterios!A8,1)),ISNUMBER(FIND("04",Criterios!A8,1))),(J19-Y19+K19)/(F19-K19),(I19-Y19+K19)/(F19-K19))</f>
        <v>-3.4207119741100325</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282.39999999999998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530.584897385266</v>
      </c>
      <c r="G21" s="552">
        <f>IF(ISNUMBER(STDEV(G8:G18)),STDEV(G8:G18),"-")</f>
        <v>357.01932720792581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256.03489345529971</v>
      </c>
      <c r="AK21" s="252"/>
      <c r="AL21" s="252">
        <f>IF(ISNUMBER(STDEV(AL8:AL18)),STDEV(AL8:AL18),"-")</f>
        <v>0</v>
      </c>
      <c r="AM21" s="254">
        <f>IF(ISNUMBER(STDEV(AM8:AM18)),STDEV(AM8:AM18),"-")</f>
        <v>0</v>
      </c>
      <c r="AN21" s="539">
        <f>IF(ISNUMBER(STDEV(AN8:AN18)),STDEV(AN8:AN18),"-")</f>
        <v>0</v>
      </c>
      <c r="AO21" s="540">
        <f>IF(ISNUMBER(STDEV(AO8:AO18)),STDEV(AO8:AO18),"-")</f>
        <v>1.2702009523196445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gb3qtQCHHGjptgiy9Wy4UgIu4w2KV3XsZwISRSpDEvdTlMC6ZaRlPSJRNBRs+DjjqWi+A9KYJ5SBPMgKns4pZg==" saltValue="NljFfG/FwYaVfF5AHwvC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rXnJcjc9lWpMgpgSfY01rh4IUERRZHC/mD8wEUPpMVcG2c4ddjgkGtCPKfwXKTR5NUrK8umZcySkZ/Ev/uWSg==" saltValue="HZnC1OjMWATJquginoXJh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LJKtVuW95G/biNsYKgT0nH3Q9kinUre7WKb/NG0i851M5Ha+D5OylMmEDDo4CJLH/1RCP2a+fcSiWSzK6dUmg==" saltValue="AVTQgG2XT58yHkCE1+rd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MEDINA DEL CAMPO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0.26253953908721195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0.18564348841815823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FoP3Aamf+Z+9d1RMxBSuCOTTW6ShWmMmV80mA207wzzbJgG6weppl89PkY4X9lzH0qrgh2nhsbyMz0Pxvv/jWw==" saltValue="B3dwQmuq9+U1ihLj4gRMw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TtTHWjBUs+XsKNWE8F5GwU4YVVbSMgRAl5RmrRMIPsbGzwLPiKTjA3+3ycyGeclOnVCAXZlcS+aDq3Zk0NN0g==" saltValue="xcbxEHPbo1nSeUShvpdY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VALLADOLID</v>
      </c>
      <c r="D3" s="375"/>
      <c r="E3" s="375"/>
      <c r="F3" s="375"/>
      <c r="BQ3" s="471"/>
    </row>
    <row r="4" spans="1:69" ht="13.5" thickBot="1">
      <c r="A4" s="375"/>
      <c r="B4" s="391" t="str">
        <f>Criterios!A11 &amp;"  "&amp;Criterios!B11</f>
        <v>Resumenes por Partidos Judiciales  MEDINA DEL CAMPO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18</v>
      </c>
      <c r="F10" s="404">
        <f>IF(ISNUMBER(E10/B10),E10/B10," - ")</f>
        <v>18</v>
      </c>
      <c r="G10" s="403">
        <f>IF(ISNUMBER(Datos!K10),Datos!K10," - ")</f>
        <v>16</v>
      </c>
      <c r="H10" s="404">
        <f>IF(ISNUMBER(G10/B10),G10/B10," - ")</f>
        <v>16</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1119</v>
      </c>
      <c r="D12" s="404">
        <f>IF(ISNUMBER(C12/Datos!BH12),C12/Datos!BH12," - ")</f>
        <v>373</v>
      </c>
      <c r="E12" s="403">
        <f>IF(ISNUMBER(IF(J_V="SI",Datos!J12,Datos!J12+Datos!Z12)),IF(J_V="SI",Datos!J12,Datos!J12+Datos!Z12)," - ")</f>
        <v>2201</v>
      </c>
      <c r="F12" s="404">
        <f>IF(ISNUMBER(E12/B12),E12/B12," - ")</f>
        <v>733.66666666666663</v>
      </c>
      <c r="G12" s="403">
        <f>IF(ISNUMBER(IF(J_V="SI",Datos!K12,Datos!K12+Datos!AA12)),IF(J_V="SI",Datos!K12,Datos!K12+Datos!AA12)," - ")</f>
        <v>2197</v>
      </c>
      <c r="H12" s="404">
        <f>IF(ISNUMBER(G12/B12),G12/B12," - ")</f>
        <v>732.33333333333337</v>
      </c>
      <c r="I12" s="403">
        <f>IF(ISNUMBER(IF(J_V="SI",Datos!L12,Datos!L12+Datos!AB12)),IF(J_V="SI",Datos!L12,Datos!L12+Datos!AB12)," - ")</f>
        <v>1142</v>
      </c>
      <c r="J12" s="404">
        <f>IF(ISNUMBER(I12/B12),I12/B12," - ")</f>
        <v>380.66666666666669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1123</v>
      </c>
      <c r="D13" s="850" t="str">
        <f>IF(ISNUMBER(C13/Datos!BI13),C13/Datos!BI13," - ")</f>
        <v xml:space="preserve"> - </v>
      </c>
      <c r="E13" s="849">
        <f>SUBTOTAL(9,E8:E12)</f>
        <v>2219</v>
      </c>
      <c r="F13" s="850">
        <f>IF(ISNUMBER(E13/B13),E13/B13," - ")</f>
        <v>739.66666666666663</v>
      </c>
      <c r="G13" s="849">
        <f>SUBTOTAL(9,G8:G12)</f>
        <v>2213</v>
      </c>
      <c r="H13" s="850">
        <f>IF(ISNUMBER(G13/B13),G13/B13," - ")</f>
        <v>737.66666666666663</v>
      </c>
      <c r="I13" s="849">
        <f>SUBTOTAL(9,I8:I12)</f>
        <v>1148</v>
      </c>
      <c r="J13" s="850">
        <f>IF(ISNUMBER(I13/B13),I13/B13," - ")</f>
        <v>382.66666666666669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642</v>
      </c>
      <c r="D16" s="404">
        <f>IF(ISNUMBER(C16/Datos!BH16),C16/Datos!BH16," - ")</f>
        <v>214</v>
      </c>
      <c r="E16" s="403">
        <f>IF(ISNUMBER(IF(D_I="SI",Datos!J16,Datos!J16+Datos!AD16)),IF(D_I="SI",Datos!J16,Datos!J16+Datos!AD16)," - ")</f>
        <v>2878</v>
      </c>
      <c r="F16" s="404">
        <f>IF(ISNUMBER(E16/B16),E16/B16," - ")</f>
        <v>959.33333333333337</v>
      </c>
      <c r="G16" s="403">
        <f>IF(ISNUMBER(IF(D_I="SI",Datos!K16,Datos!K16+Datos!AE16)),IF(D_I="SI",Datos!K16,Datos!K16+Datos!AE16)," - ")</f>
        <v>3012</v>
      </c>
      <c r="H16" s="404">
        <f>IF(ISNUMBER(G16/B16),G16/B16," - ")</f>
        <v>1004</v>
      </c>
      <c r="I16" s="403">
        <f>IF(ISNUMBER(IF(D_I="SI",Datos!L16,Datos!L16+Datos!AF16)),IF(D_I="SI",Datos!L16,Datos!L16+Datos!AF16)," - ")</f>
        <v>789</v>
      </c>
      <c r="J16" s="404">
        <f>IF(ISNUMBER(I16/B16),I16/B16," - ")</f>
        <v>263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60</v>
      </c>
      <c r="D17" s="404">
        <f>IF(ISNUMBER(C17/Datos!BH17),C17/Datos!BH17," - ")</f>
        <v>60</v>
      </c>
      <c r="E17" s="403">
        <f>IF(ISNUMBER(IF(D_I="SI",Datos!J17,Datos!J17+Datos!AD17)),IF(D_I="SI",Datos!J17,Datos!J17+Datos!AD17)," - ")</f>
        <v>133</v>
      </c>
      <c r="F17" s="404">
        <f>IF(ISNUMBER(E17/B17),E17/B17," - ")</f>
        <v>133</v>
      </c>
      <c r="G17" s="403">
        <f>IF(ISNUMBER(IF(D_I="SI",Datos!K17,Datos!K17+Datos!AE17)),IF(D_I="SI",Datos!K17,Datos!K17+Datos!AE17)," - ")</f>
        <v>143</v>
      </c>
      <c r="H17" s="404">
        <f>IF(ISNUMBER(G17/B17),G17/B17," - ")</f>
        <v>143</v>
      </c>
      <c r="I17" s="403">
        <f>IF(ISNUMBER(IF(D_I="SI",Datos!L17,Datos!L17+Datos!AF17)),IF(D_I="SI",Datos!L17,Datos!L17+Datos!AF17)," - ")</f>
        <v>50</v>
      </c>
      <c r="J17" s="404">
        <f>IF(ISNUMBER(I17/B17),I17/B17," - ")</f>
        <v>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702</v>
      </c>
      <c r="D18" s="850" t="str">
        <f>IF(ISNUMBER(C18/Datos!BI18),C18/Datos!BI18," - ")</f>
        <v xml:space="preserve"> - </v>
      </c>
      <c r="E18" s="849">
        <f>SUBTOTAL(9,E14:E17)</f>
        <v>3011</v>
      </c>
      <c r="F18" s="850">
        <f>IF(ISNUMBER(E18/B18),E18/B18," - ")</f>
        <v>1003.6666666666666</v>
      </c>
      <c r="G18" s="849">
        <f>SUBTOTAL(9,G14:G17)</f>
        <v>3155</v>
      </c>
      <c r="H18" s="850">
        <f>IF(ISNUMBER(G18/B18),G18/B18," - ")</f>
        <v>1051.6666666666667</v>
      </c>
      <c r="I18" s="849">
        <f>SUBTOTAL(9,I14:I17)</f>
        <v>839</v>
      </c>
      <c r="J18" s="850">
        <f>IF(ISNUMBER(I18/B18),I18/B18," - ")</f>
        <v>279.66666666666669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1825</v>
      </c>
      <c r="D19" s="795" t="str">
        <f>IF(ISNUMBER(C19/Datos!BI19),C19/Datos!BI19," - ")</f>
        <v xml:space="preserve"> - </v>
      </c>
      <c r="E19" s="794">
        <f>SUBTOTAL(9,E9:E18)</f>
        <v>5230</v>
      </c>
      <c r="F19" s="795">
        <f>IF(ISNUMBER(E19/B19),E19/B19," - ")</f>
        <v>1743.3333333333333</v>
      </c>
      <c r="G19" s="794">
        <f>SUBTOTAL(9,G9:G18)</f>
        <v>5368</v>
      </c>
      <c r="H19" s="795">
        <f>IF(ISNUMBER(G19/B19),G19/B19," - ")</f>
        <v>1789.3333333333333</v>
      </c>
      <c r="I19" s="794">
        <f>SUBTOTAL(9,I9:I18)</f>
        <v>1987</v>
      </c>
      <c r="J19" s="795">
        <f>IF(ISNUMBER(I19/B19),I19/B19," - ")</f>
        <v>662.33333333333337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fsqE7u3oA8QsOM8xY9bDdE/xVRoCFCYwu7/shUpzDeuF8uMZ/dYn5oWluiJTH4Lemw0uHbrhbHTya1FMIHK72w==" saltValue="VqwkEKFOaZFKYzapilaf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VALLADOLID  Resumenes por Partidos Judiciales  MEDINA DEL CAMPO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4.125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580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573</v>
      </c>
      <c r="AM12" s="690">
        <f>IF(ISNUMBER(Datos!N12+DatosP!N16),Datos!N12+DatosP!N16," - ")</f>
        <v>988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5.7177969959035044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-9.6774193548387101E-3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573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580</v>
      </c>
      <c r="AE13" s="939">
        <f t="shared" si="1"/>
        <v>0</v>
      </c>
      <c r="AF13" s="939">
        <f t="shared" si="1"/>
        <v>6</v>
      </c>
      <c r="AG13" s="939">
        <f t="shared" si="1"/>
        <v>0</v>
      </c>
      <c r="AH13" s="939">
        <f t="shared" si="1"/>
        <v>1842</v>
      </c>
      <c r="AI13" s="939">
        <f t="shared" si="1"/>
        <v>0</v>
      </c>
      <c r="AJ13" s="939">
        <f t="shared" si="1"/>
        <v>0</v>
      </c>
      <c r="AK13" s="939">
        <f t="shared" si="1"/>
        <v>0</v>
      </c>
      <c r="AL13" s="939">
        <f t="shared" si="1"/>
        <v>581</v>
      </c>
      <c r="AM13" s="939">
        <f t="shared" si="1"/>
        <v>995</v>
      </c>
      <c r="AN13" s="939">
        <f t="shared" si="1"/>
        <v>0</v>
      </c>
      <c r="AO13" s="939">
        <f t="shared" si="1"/>
        <v>0</v>
      </c>
      <c r="AP13" s="944">
        <f>IF(ISNUMBER(((Datos!L13/Datos!K13)*11)/factor_trimestre),((Datos!L13/Datos!K13)*11)/factor_trimestre," - ")</f>
        <v>5.8057032382793619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-4</v>
      </c>
      <c r="AU13" s="939" t="str">
        <f>IF(ISNUMBER((DatosP!#REF!-DatosP!#REF!+DatosP!#REF!)/(DatosP!#REF!+DatosP!#REF!-DatosP!#REF!-DatosP!#REF!)),(DatosP!#REF!-DatosP!#REF!+DatosP!#REF!)/(DatosP!#REF!+DatosP!#REF!-DatosP!#REF!-DatosP!#REF!)," - ")</f>
        <v xml:space="preserve"> - </v>
      </c>
      <c r="AV13" s="945">
        <f>SUBTOTAL(9,AV9:AV12)</f>
        <v>-9.6774193548387101E-3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2.9251980982567356</v>
      </c>
      <c r="AQ18" s="944">
        <f>IF(ISNUMBER(((Datos!M18/Datos!L18)*11)/factor_trimestre),((Datos!M18/Datos!L18)*11)/factor_trimestre," - ")</f>
        <v>4.0905840286054822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0.22222222222222221</v>
      </c>
      <c r="AW18" s="946">
        <f>IF(ISNUMBER((Datos!Q18-Datos!R18)/(Datos!S18-Datos!Q18+Datos!R18)),(Datos!Q18-Datos!R18)/(Datos!S18-Datos!Q18+Datos!R18)," - ")</f>
        <v>-1.6551724137931035E-2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573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580</v>
      </c>
      <c r="AE19" s="957">
        <f t="shared" si="5"/>
        <v>0</v>
      </c>
      <c r="AF19" s="958">
        <f t="shared" si="5"/>
        <v>6</v>
      </c>
      <c r="AG19" s="958">
        <f t="shared" si="5"/>
        <v>0</v>
      </c>
      <c r="AH19" s="958">
        <f t="shared" si="5"/>
        <v>1842</v>
      </c>
      <c r="AI19" s="958">
        <f t="shared" si="5"/>
        <v>0</v>
      </c>
      <c r="AJ19" s="959">
        <f t="shared" si="5"/>
        <v>0</v>
      </c>
      <c r="AK19" s="959">
        <f t="shared" si="5"/>
        <v>0</v>
      </c>
      <c r="AL19" s="951">
        <f t="shared" si="5"/>
        <v>581</v>
      </c>
      <c r="AM19" s="951">
        <f t="shared" si="5"/>
        <v>995</v>
      </c>
      <c r="AN19" s="951">
        <f t="shared" si="5"/>
        <v>0</v>
      </c>
      <c r="AO19" s="951">
        <f t="shared" si="5"/>
        <v>0</v>
      </c>
      <c r="AP19" s="951">
        <f>IF(ISNUMBER(((Datos!L19/Datos!K19)*11)/factor_trimestre),((Datos!L19/Datos!K19)*11)/factor_trimestre," - ")</f>
        <v>4.0660413476263395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330.85394562152851</v>
      </c>
      <c r="AM21" s="736"/>
      <c r="AN21" s="736">
        <f>IF(ISNUMBER(STDEV(AN8:AN18)),STDEV(AN8:AN18),"-")</f>
        <v>0</v>
      </c>
      <c r="AO21" s="742">
        <f>IF(ISNUMBER(STDEV(AO8:AO18)),STDEV(AO8:AO18),"-")</f>
        <v>0</v>
      </c>
      <c r="AP21" s="779">
        <f>IF(ISNUMBER(STDEV(AP8:AP18)),STDEV(AP8:AP18),"-")</f>
        <v>1.3815732644655552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qVP8bk9N/6ySRfyorzckVVRHbOrpakySt9E5DEAVslyh9xfU95/qyuBaLyFcXmW/7o9htf9Dv4bbI1FLfFk00w==" saltValue="TaAoDyiQCjd0nSAFlc/57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VALLADOLID</v>
      </c>
      <c r="C3" s="415"/>
      <c r="F3" s="375"/>
      <c r="G3" s="375"/>
      <c r="H3" s="375"/>
    </row>
    <row r="4" spans="1:15" ht="13.5" thickBot="1">
      <c r="A4" s="375"/>
      <c r="B4" s="391" t="str">
        <f>Criterios!A11 &amp;"  "&amp;Criterios!B11</f>
        <v>Resumenes por Partidos Judiciales  MEDINA DEL CAMPO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Onq3lYrVrsVcZ9vCkT3KwgbuUKgqo0ONDoMIsETxRsbwRwpidVDwuaU4oo51mo9mC9oW1CiFddPaNoZVxn4BuA==" saltValue="p2htyH8R1l85SFKCR+3e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VALLADOLID</v>
      </c>
      <c r="C3" s="391"/>
      <c r="D3" s="425"/>
      <c r="BZ3" s="471"/>
    </row>
    <row r="4" spans="1:78" ht="13.5" thickBot="1">
      <c r="B4" s="391" t="str">
        <f>Criterios!A11 &amp;"  "&amp;Criterios!B11</f>
        <v>Resumenes por Partidos Judiciales  MEDINA DEL CAMPO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7</v>
      </c>
      <c r="G10" s="404">
        <f>IF(ISNUMBER(F10/B10),F10/B10," - ")</f>
        <v>7</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573</v>
      </c>
      <c r="E12" s="404">
        <f t="shared" si="0"/>
        <v>191</v>
      </c>
      <c r="F12" s="403">
        <f>IF(ISNUMBER(Datos!N12),Datos!N12," - ")</f>
        <v>988</v>
      </c>
      <c r="G12" s="404">
        <f t="shared" si="1"/>
        <v>329.33333333333331</v>
      </c>
      <c r="H12" s="403">
        <f>IF(ISNUMBER(Datos!O12),Datos!O12," - ")</f>
        <v>976</v>
      </c>
      <c r="I12" s="404">
        <f t="shared" si="2"/>
        <v>325.33333333333331</v>
      </c>
      <c r="BZ12" s="1186">
        <f>Datos!EZ12</f>
        <v>0</v>
      </c>
    </row>
    <row r="13" spans="1:78" ht="14.25" thickTop="1" thickBot="1">
      <c r="A13" s="848" t="str">
        <f>Datos!A13</f>
        <v>TOTAL</v>
      </c>
      <c r="B13" s="849">
        <f>Datos!AP13</f>
        <v>3</v>
      </c>
      <c r="C13" s="851">
        <f>Datos!AR13</f>
        <v>3</v>
      </c>
      <c r="D13" s="849">
        <f>SUBTOTAL(9,D9:D12)</f>
        <v>581</v>
      </c>
      <c r="E13" s="850">
        <f t="shared" si="0"/>
        <v>193.66666666666666</v>
      </c>
      <c r="F13" s="849">
        <f>SUBTOTAL(9,F9:F12)</f>
        <v>995</v>
      </c>
      <c r="G13" s="850">
        <f t="shared" si="1"/>
        <v>331.66666666666669</v>
      </c>
      <c r="H13" s="849">
        <f>SUBTOTAL(9,H9:H12)</f>
        <v>981</v>
      </c>
      <c r="I13" s="850">
        <f>IF(ISNUMBER(H13/B13),H13/B13," - ")</f>
        <v>327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310</v>
      </c>
      <c r="E16" s="404">
        <f t="shared" si="3"/>
        <v>103.33333333333333</v>
      </c>
      <c r="F16" s="403">
        <f>IF(ISNUMBER(Datos!N16),Datos!N16," - ")</f>
        <v>1663</v>
      </c>
      <c r="G16" s="404">
        <f t="shared" si="4"/>
        <v>554.33333333333337</v>
      </c>
      <c r="H16" s="403">
        <f>IF(ISNUMBER(Datos!O16),Datos!O16," - ")</f>
        <v>40</v>
      </c>
      <c r="I16" s="404">
        <f t="shared" si="5"/>
        <v>13.333333333333334</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97</v>
      </c>
      <c r="G17" s="404">
        <f>IF(ISNUMBER(F17/B17),F17/B17," - ")</f>
        <v>97</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312</v>
      </c>
      <c r="E18" s="850">
        <f t="shared" si="3"/>
        <v>104</v>
      </c>
      <c r="F18" s="849">
        <f>SUBTOTAL(9,F15:F17)</f>
        <v>1760</v>
      </c>
      <c r="G18" s="850">
        <f t="shared" si="4"/>
        <v>586.66666666666663</v>
      </c>
      <c r="H18" s="849">
        <f>SUBTOTAL(9,H15:H17)</f>
        <v>41</v>
      </c>
      <c r="I18" s="850">
        <f>IF(ISNUMBER(H18/B18),H18/B18," - ")</f>
        <v>13.666666666666666</v>
      </c>
      <c r="BZ18" s="1186"/>
    </row>
    <row r="19" spans="1:78" ht="14.25" thickTop="1" thickBot="1">
      <c r="A19" s="793" t="str">
        <f>Datos!A19</f>
        <v>TOTAL JURISDICCIONES</v>
      </c>
      <c r="B19" s="794">
        <f>Datos!AP19</f>
        <v>3</v>
      </c>
      <c r="C19" s="794">
        <f>Datos!AR19</f>
        <v>3</v>
      </c>
      <c r="D19" s="794">
        <f>SUBTOTAL(9,D8:D18)</f>
        <v>893</v>
      </c>
      <c r="E19" s="795">
        <f>IF(ISNUMBER(D19/B19),D19/B19," - ")</f>
        <v>297.66666666666669</v>
      </c>
      <c r="F19" s="794">
        <f>SUBTOTAL(9,F8:F18)</f>
        <v>2755</v>
      </c>
      <c r="G19" s="795">
        <f>IF(ISNUMBER(F19/B19),F19/B19," - ")</f>
        <v>918.33333333333337</v>
      </c>
      <c r="H19" s="794">
        <f>SUBTOTAL(9,H8:H18)</f>
        <v>1022</v>
      </c>
      <c r="I19" s="795">
        <f>IF(ISNUMBER(H19/B19),H19/B19," - ")</f>
        <v>340.66666666666669</v>
      </c>
    </row>
    <row r="22" spans="1:78">
      <c r="A22" s="391" t="str">
        <f>Criterios!A4</f>
        <v>Fecha Informe: 28 feb. 2025</v>
      </c>
    </row>
    <row r="27" spans="1:78">
      <c r="A27" s="414"/>
    </row>
  </sheetData>
  <sheetProtection algorithmName="SHA-512" hashValue="rvSccU9PNVp/MDC46/ul+40mziVI4+kr3xBktiw3vodrawqAVXX5fMiGBtT2BNeWC72/w9s7Z4apbfVhH3tmWA==" saltValue="axCSWhtHstOvE2dALLCN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VALLADOLID</v>
      </c>
    </row>
    <row r="4" spans="1:4" ht="13.5" thickBot="1">
      <c r="B4" s="391" t="str">
        <f>Criterios!A11 &amp;"  "&amp;Criterios!B11</f>
        <v>Resumenes por Partidos Judiciales  MEDINA DEL CAMPO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11</v>
      </c>
      <c r="C10" s="434">
        <f>IF(ISNUMBER(Datos!Q10),Datos!Q10," - ")</f>
        <v>9</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562</v>
      </c>
      <c r="C12" s="434">
        <f>IF(ISNUMBER(Datos!Q12),Datos!Q12," - ")</f>
        <v>580</v>
      </c>
      <c r="D12" s="408">
        <f>IF(ISNUMBER(Datos!R12),Datos!R12," - ")</f>
        <v>1842</v>
      </c>
    </row>
    <row r="13" spans="1:4" ht="14.25" thickTop="1" thickBot="1">
      <c r="A13" s="848" t="str">
        <f>Datos!A13</f>
        <v>TOTAL</v>
      </c>
      <c r="B13" s="849">
        <f>SUBTOTAL(9,B9:B12)</f>
        <v>573</v>
      </c>
      <c r="C13" s="853">
        <f>SUBTOTAL(9,C9:C12)</f>
        <v>589</v>
      </c>
      <c r="D13" s="851">
        <f>SUBTOTAL(9,D9:D12)</f>
        <v>1855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91</v>
      </c>
      <c r="C16" s="434">
        <f>IF(ISNUMBER(Datos!Q16),Datos!Q16," - ")</f>
        <v>75</v>
      </c>
      <c r="D16" s="408">
        <f>IF(ISNUMBER(Datos!R16),Datos!R16," - ")</f>
        <v>88</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92</v>
      </c>
      <c r="C18" s="853">
        <f>SUBTOTAL(9,C15:C17)</f>
        <v>76</v>
      </c>
      <c r="D18" s="851">
        <f>SUBTOTAL(9,D15:D17)</f>
        <v>88</v>
      </c>
    </row>
    <row r="19" spans="1:4" ht="16.5" customHeight="1" thickTop="1" thickBot="1">
      <c r="A19" s="793" t="str">
        <f>Datos!A19</f>
        <v>TOTAL JURISDICCIONES</v>
      </c>
      <c r="B19" s="798">
        <f>SUBTOTAL(9,B8:B18)</f>
        <v>665</v>
      </c>
      <c r="C19" s="799">
        <f>SUBTOTAL(9,C8:C18)</f>
        <v>665</v>
      </c>
      <c r="D19" s="800">
        <f>SUBTOTAL(9,D8:D18)</f>
        <v>1943</v>
      </c>
    </row>
    <row r="20" spans="1:4" ht="7.5" customHeight="1"/>
    <row r="21" spans="1:4" ht="6" customHeight="1"/>
    <row r="22" spans="1:4">
      <c r="A22" s="391" t="str">
        <f>Criterios!A4</f>
        <v>Fecha Informe: 28 feb. 2025</v>
      </c>
    </row>
    <row r="27" spans="1:4">
      <c r="A27" s="414"/>
    </row>
  </sheetData>
  <sheetProtection algorithmName="SHA-512" hashValue="Cq0qnmG/IiPUkvQn9v/dvxPD0+pALgXylIBbYXh9QoTIdEGYwcM1ZAtN02O8tNX88hCmIxxx8Y8cDUEta/555A==" saltValue="krTlKHJrog3qyd2cTIOhv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VALLADOLID</v>
      </c>
    </row>
    <row r="4" spans="1:11" ht="10.5" customHeight="1" thickBot="1">
      <c r="B4" s="391" t="str">
        <f>Criterios!A11 &amp;"  "&amp;Criterios!B11</f>
        <v>Resumenes por Partidos Judiciales  MEDINA DEL CAMPO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0.5</v>
      </c>
      <c r="D10" s="456">
        <f>IF(ISNUMBER((Datos!K10-Datos!U10)/Datos!U10),(Datos!K10-Datos!U10)/Datos!U10," - ")</f>
        <v>0.33333333333333331</v>
      </c>
      <c r="E10" s="456">
        <f>IF(ISNUMBER((Datos!L10-Datos!V10)/Datos!V10),(Datos!L10-Datos!V10)/Datos!V10," - ")</f>
        <v>0.5</v>
      </c>
      <c r="F10" s="456">
        <f>IF(ISNUMBER((Datos!M10-Datos!W10)/Datos!W10),(Datos!M10-Datos!W10)/Datos!W10," - ")</f>
        <v>-0.27272727272727271</v>
      </c>
      <c r="G10" s="457" t="str">
        <f>IF(ISNUMBER((Datos!N10-Datos!X10)/Datos!X10),(Datos!N10-Datos!X10)/Datos!X10," - ")</f>
        <v xml:space="preserve"> - </v>
      </c>
      <c r="H10" s="455">
        <f>IF(ISNUMBER(((NºAsuntos!G10/NºAsuntos!E10)-Datos!BD10)/Datos!BD10),((NºAsuntos!G10/NºAsuntos!E10)-Datos!BD10)/Datos!BD10," - ")</f>
        <v>-0.11111111111111116</v>
      </c>
      <c r="I10" s="456">
        <f>IF(ISNUMBER(((NºAsuntos!I10/NºAsuntos!G10)-Datos!BE10)/Datos!BE10),((NºAsuntos!I10/NºAsuntos!G10)-Datos!BE10)/Datos!BE10," - ")</f>
        <v>0.12500000000000006</v>
      </c>
      <c r="J10" s="461">
        <f>IF(ISNUMBER((('Resol  Asuntos'!D10/NºAsuntos!G10)-Datos!BF10)/Datos!BF10),(('Resol  Asuntos'!D10/NºAsuntos!G10)-Datos!BF10)/Datos!BF10," - ")</f>
        <v>-0.45454545454545453</v>
      </c>
      <c r="K10" s="462">
        <f>IF(ISNUMBER((((NºAsuntos!C10+NºAsuntos!E10)/NºAsuntos!G10)-Datos!BG10)/Datos!BG10),(((NºAsuntos!C10+NºAsuntos!E10)/NºAsuntos!G10)-Datos!BG10)/Datos!BG10," - ")</f>
        <v>3.1250000000000056E-2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0.5672268907563025</v>
      </c>
      <c r="C12" s="456">
        <f>IF(ISNUMBER(
   IF(J_V="SI",(Datos!J12-Datos!T12)/Datos!T12,(Datos!J12+Datos!Z12-(Datos!T12+Datos!AH12))/(Datos!T12+Datos!AH12))
     ),IF(J_V="SI",(Datos!J12-Datos!T12)/Datos!T12,(Datos!J12+Datos!Z12-(Datos!T12+Datos!AH12))/(Datos!T12+Datos!AH12))," - ")</f>
        <v>4.2633822832780673E-2</v>
      </c>
      <c r="D12" s="456">
        <f>IF(ISNUMBER(
   IF(J_V="SI",(Datos!K12-Datos!U12)/Datos!U12,(Datos!K12+Datos!AA12-(Datos!U12+Datos!AI12))/(Datos!U12+Datos!AI12))
     ),IF(J_V="SI",(Datos!K12-Datos!U12)/Datos!U12,(Datos!K12+Datos!AA12-(Datos!U12+Datos!AI12))/(Datos!U12+Datos!AI12))," - ")</f>
        <v>0.28629976580796251</v>
      </c>
      <c r="E12" s="456">
        <f>IF(ISNUMBER(
   IF(J_V="SI",(Datos!L12-Datos!V12)/Datos!V12,(Datos!L12+Datos!AB12-(Datos!V12+Datos!AJ12))/(Datos!V12+Datos!AJ12))
     ),IF(J_V="SI",(Datos!L12-Datos!V12)/Datos!V12,(Datos!L12+Datos!AB12-(Datos!V12+Datos!AJ12))/(Datos!V12+Datos!AJ12))," - ")</f>
        <v>2.0554066130473638E-2</v>
      </c>
      <c r="F12" s="456">
        <f>IF(ISNUMBER((Datos!M12-Datos!W12)/Datos!W12),(Datos!M12-Datos!W12)/Datos!W12," - ")</f>
        <v>0.58287292817679559</v>
      </c>
      <c r="G12" s="457">
        <f>IF(ISNUMBER((Datos!N12-Datos!X12)/Datos!X12),(Datos!N12-Datos!X12)/Datos!X12," - ")</f>
        <v>0.29829172141918531</v>
      </c>
      <c r="H12" s="455">
        <f>IF(ISNUMBER(((NºAsuntos!G12/NºAsuntos!E12)-Datos!BD12)/Datos!BD12),((NºAsuntos!G12/NºAsuntos!E12)-Datos!BD12)/Datos!BD12," - ")</f>
        <v>0.23370231968223951</v>
      </c>
      <c r="I12" s="456">
        <f>IF(ISNUMBER(((NºAsuntos!I12/NºAsuntos!G12)-Datos!BE12)/Datos!BE12),((NºAsuntos!I12/NºAsuntos!G12)-Datos!BE12)/Datos!BE12," - ")</f>
        <v>-0.20659702096001414</v>
      </c>
      <c r="J12" s="461">
        <f>IF(ISNUMBER((('Resol  Asuntos'!D12/NºAsuntos!G12)-Datos!BF12)/Datos!BF12),(('Resol  Asuntos'!D12/NºAsuntos!G12)-Datos!BF12)/Datos!BF12," - ")</f>
        <v>-0.41463362116660096</v>
      </c>
      <c r="K12" s="462">
        <f>IF(ISNUMBER((((NºAsuntos!C12+NºAsuntos!E12)/NºAsuntos!G12)-Datos!BG12)/Datos!BG12),(((NºAsuntos!C12+NºAsuntos!E12)/NºAsuntos!G12)-Datos!BG12)/Datos!BG12," - ")</f>
        <v>-8.6355085978063365E-2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0.56406685236768805</v>
      </c>
      <c r="C13" s="855">
        <f>IF(ISNUMBER(
   IF(J_V="SI",(Datos!J13-Datos!T13)/Datos!T13,(Datos!J13+Datos!Z13-(Datos!T13+Datos!AH13))/(Datos!T13+Datos!AH13))
     ),IF(J_V="SI",(Datos!J13-Datos!T13)/Datos!T13,(Datos!J13+Datos!Z13-(Datos!T13+Datos!AH13))/(Datos!T13+Datos!AH13))," - ")</f>
        <v>4.5219029674988226E-2</v>
      </c>
      <c r="D13" s="855">
        <f>IF(ISNUMBER(
   IF(J_V="SI",(Datos!K13-Datos!U13)/Datos!U13,(Datos!K13+Datos!AA13-(Datos!U13+Datos!AI13))/(Datos!U13+Datos!AI13))
     ),IF(J_V="SI",(Datos!K13-Datos!U13)/Datos!U13,(Datos!K13+Datos!AA13-(Datos!U13+Datos!AI13))/(Datos!U13+Datos!AI13))," - ")</f>
        <v>0.28662790697674417</v>
      </c>
      <c r="E13" s="855">
        <f>IF(ISNUMBER(
   IF(J_V="SI",(Datos!L13-Datos!V13)/Datos!V13,(Datos!L13+Datos!AB13-(Datos!V13+Datos!AJ13))/(Datos!V13+Datos!AJ13))
     ),IF(J_V="SI",(Datos!L13-Datos!V13)/Datos!V13,(Datos!L13+Datos!AB13-(Datos!V13+Datos!AJ13))/(Datos!V13+Datos!AJ13))," - ")</f>
        <v>2.2261798753339269E-2</v>
      </c>
      <c r="F13" s="856">
        <f>IF(ISNUMBER((Datos!M13-Datos!W13)/Datos!W13),(Datos!M13-Datos!W13)/Datos!W13," - ")</f>
        <v>0.55764075067024133</v>
      </c>
      <c r="G13" s="857">
        <f>IF(ISNUMBER((Datos!N13-Datos!X13)/Datos!X13),(Datos!N13-Datos!X13)/Datos!X13," - ")</f>
        <v>0.30749014454664914</v>
      </c>
      <c r="H13" s="857">
        <f>IF(ISNUMBER(((NºAsuntos!G13/NºAsuntos!E13)-Datos!BD13)/Datos!BD13),((NºAsuntos!G13/NºAsuntos!E13)-Datos!BD13)/Datos!BD13," - ")</f>
        <v>0.23096486999172056</v>
      </c>
      <c r="I13" s="857">
        <f>IF(ISNUMBER(((NºAsuntos!I13/NºAsuntos!G13)-Datos!BE13)/Datos!BE13),((NºAsuntos!I13/NºAsuntos!G13)-Datos!BE13)/Datos!BE13," - ")</f>
        <v>-0.20547207688398395</v>
      </c>
      <c r="J13" s="857">
        <f>IF(ISNUMBER((('Resol  Asuntos'!D13/NºAsuntos!G13)-Datos!BF13)/Datos!BF13),(('Resol  Asuntos'!D13/NºAsuntos!G13)-Datos!BF13)/Datos!BF13," - ")</f>
        <v>-0.4150673481476625</v>
      </c>
      <c r="K13" s="857">
        <f>IF(ISNUMBER((((NºAsuntos!C13+NºAsuntos!E13)/NºAsuntos!G13)-Datos!BG13)/Datos!BG13),(((NºAsuntos!C13+NºAsuntos!E13)/NºAsuntos!G13)-Datos!BG13)/Datos!BG13," - ")</f>
        <v>-8.5713631316531785E-2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-2.4316109422492401E-2</v>
      </c>
      <c r="C16" s="456">
        <f>IF(ISNUMBER(
   IF(D_I="SI",(Datos!J16-Datos!T16)/Datos!T16,(Datos!J16+Datos!AD16-(Datos!T16+Datos!AL16))/(Datos!T16+Datos!AL16))
     ),IF(D_I="SI",(Datos!J16-Datos!T16)/Datos!T16,(Datos!J16+Datos!AD16-(Datos!T16+Datos!AL16))/(Datos!T16+Datos!AL16))," - ")</f>
        <v>0.22052586938083121</v>
      </c>
      <c r="D16" s="456">
        <f>IF(ISNUMBER(
   IF(D_I="SI",(Datos!K16-Datos!U16)/Datos!U16,(Datos!K16+Datos!AE16-(Datos!U16+Datos!AM16))/(Datos!U16+Datos!AM16))
     ),IF(D_I="SI",(Datos!K16-Datos!U16)/Datos!U16,(Datos!K16+Datos!AE16-(Datos!U16+Datos!AM16))/(Datos!U16+Datos!AM16))," - ")</f>
        <v>0.27195945945945948</v>
      </c>
      <c r="E16" s="456">
        <f>IF(ISNUMBER(
   IF(D_I="SI",(Datos!L16-Datos!V16)/Datos!V16,(Datos!L16+Datos!AF16-(Datos!V16+Datos!AN16))/(Datos!V16+Datos!AN16))
     ),IF(D_I="SI",(Datos!L16-Datos!V16)/Datos!V16,(Datos!L16+Datos!AF16-(Datos!V16+Datos!AN16))/(Datos!V16+Datos!AN16))," - ")</f>
        <v>0.22897196261682243</v>
      </c>
      <c r="F16" s="456">
        <f>IF(ISNUMBER((Datos!M16-Datos!W16)/Datos!W16),(Datos!M16-Datos!W16)/Datos!W16," - ")</f>
        <v>0.61458333333333337</v>
      </c>
      <c r="G16" s="457">
        <f>IF(ISNUMBER((Datos!N16-Datos!X16)/Datos!X16),(Datos!N16-Datos!X16)/Datos!X16," - ")</f>
        <v>5.5203045685279187E-2</v>
      </c>
      <c r="H16" s="455">
        <f>IF(ISNUMBER(((NºAsuntos!G16/NºAsuntos!E16)-Datos!BD16)/Datos!BD16),((NºAsuntos!G16/NºAsuntos!E16)-Datos!BD16)/Datos!BD16," - ")</f>
        <v>4.2140516124185165E-2</v>
      </c>
      <c r="I16" s="456">
        <f>IF(ISNUMBER(((NºAsuntos!I16/NºAsuntos!G16)-Datos!BE16)/Datos!BE16),((NºAsuntos!I16/NºAsuntos!G16)-Datos!BE16)/Datos!BE16," - ")</f>
        <v>-3.3796279058221954E-2</v>
      </c>
      <c r="J16" s="461">
        <f>IF(ISNUMBER((('Resol  Asuntos'!D16/NºAsuntos!G16)-Datos!BF16)/Datos!BF16),(('Resol  Asuntos'!D16/NºAsuntos!G16)-Datos!BF16)/Datos!BF16," - ")</f>
        <v>0.26936697653829128</v>
      </c>
      <c r="K16" s="462">
        <f>IF(ISNUMBER((((NºAsuntos!C16+NºAsuntos!E16)/NºAsuntos!G16)-Datos!BG16)/Datos!BG16),(((NºAsuntos!C16+NºAsuntos!E16)/NºAsuntos!G16)-Datos!BG16)/Datos!BG16," - ")</f>
        <v>-8.2432427672158373E-2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0.33</v>
      </c>
      <c r="D17" s="456">
        <f>IF(ISNUMBER(
   IF(D_I="SI",(Datos!K17-Datos!U17)/Datos!U17,(Datos!K17+Datos!AE17-(Datos!U17+Datos!AM17))/(Datos!U17+Datos!AM17))
     ),IF(D_I="SI",(Datos!K17-Datos!U17)/Datos!U17,(Datos!K17+Datos!AE17-(Datos!U17+Datos!AM17))/(Datos!U17+Datos!AM17))," - ")</f>
        <v>0.50526315789473686</v>
      </c>
      <c r="E17" s="456">
        <f>IF(ISNUMBER(
   IF(D_I="SI",(Datos!L17-Datos!V17)/Datos!V17,(Datos!L17+Datos!AF17-(Datos!V17+Datos!AN17))/(Datos!V17+Datos!AN17))
     ),IF(D_I="SI",(Datos!L17-Datos!V17)/Datos!V17,(Datos!L17+Datos!AF17-(Datos!V17+Datos!AN17))/(Datos!V17+Datos!AN17))," - ")</f>
        <v>-0.16666666666666666</v>
      </c>
      <c r="F17" s="456" t="str">
        <f>IF(ISNUMBER((Datos!M17-Datos!W17)/Datos!W17),(Datos!M17-Datos!W17)/Datos!W17," - ")</f>
        <v xml:space="preserve"> - </v>
      </c>
      <c r="G17" s="457">
        <f>IF(ISNUMBER((Datos!N17-Datos!X17)/Datos!X17),(Datos!N17-Datos!X17)/Datos!X17," - ")</f>
        <v>-2.0202020202020204E-2</v>
      </c>
      <c r="H17" s="455">
        <f>IF(ISNUMBER(((NºAsuntos!G17/NºAsuntos!E17)-Datos!BD17)/Datos!BD17),((NºAsuntos!G17/NºAsuntos!E17)-Datos!BD17)/Datos!BD17," - ")</f>
        <v>0.13177681044717071</v>
      </c>
      <c r="I17" s="456">
        <f>IF(ISNUMBER(((NºAsuntos!I17/NºAsuntos!G17)-Datos!BE17)/Datos!BE17),((NºAsuntos!I17/NºAsuntos!G17)-Datos!BE17)/Datos!BE17," - ")</f>
        <v>-0.44638694638694637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-0.1727949469884954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-1.5427769985974754E-2</v>
      </c>
      <c r="C18" s="855">
        <f>IF(ISNUMBER(
   IF(Criterios!B14="SI",(Datos!J18-Datos!T18)/Datos!T18,(Datos!J18+Datos!AD18-(Datos!T18+Datos!AL18))/(Datos!T18+Datos!AL18))
     ),IF(Criterios!B14="SI",(Datos!J18-Datos!T18)/Datos!T18,(Datos!J18+Datos!AD18-(Datos!T18+Datos!AL18))/(Datos!T18+Datos!AL18))," - ")</f>
        <v>0.22497965825874694</v>
      </c>
      <c r="D18" s="855">
        <f>IF(ISNUMBER(
   IF(Criterios!B14="SI",(Datos!K18-Datos!U18)/Datos!U18,(Datos!K18+Datos!AE18-(Datos!U18+Datos!AM18))/(Datos!U18+Datos!AM18))
     ),IF(Criterios!B14="SI",(Datos!K18-Datos!U18)/Datos!U18,(Datos!K18+Datos!AE18-(Datos!U18+Datos!AM18))/(Datos!U18+Datos!AM18))," - ")</f>
        <v>0.28095818107998377</v>
      </c>
      <c r="E18" s="855">
        <f>IF(ISNUMBER(
   IF(Criterios!B14="SI",(Datos!L18-Datos!V18)/Datos!V18,(Datos!L18+Datos!AF18-(Datos!V18+Datos!AN18))/(Datos!V18+Datos!AN18))
     ),IF(Criterios!B14="SI",(Datos!L18-Datos!V18)/Datos!V18,(Datos!L18+Datos!AF18-(Datos!V18+Datos!AN18))/(Datos!V18+Datos!AN18))," - ")</f>
        <v>0.19515669515669515</v>
      </c>
      <c r="F18" s="856">
        <f>IF(ISNUMBER((Datos!M18-Datos!W18)/Datos!W18),(Datos!M18-Datos!W18)/Datos!W18," - ")</f>
        <v>0.625</v>
      </c>
      <c r="G18" s="857">
        <f>IF(ISNUMBER((Datos!N18-Datos!X18)/Datos!X18),(Datos!N18-Datos!X18)/Datos!X18," - ")</f>
        <v>5.0746268656716415E-2</v>
      </c>
      <c r="H18" s="857">
        <f>IF(ISNUMBER(((NºAsuntos!G18/NºAsuntos!E18)-Datos!BD18)/Datos!BD18),((NºAsuntos!G18/NºAsuntos!E18)-Datos!BD18)/Datos!BD18," - ")</f>
        <v>4.5697512153636717E-2</v>
      </c>
      <c r="I18" s="857">
        <f>IF(ISNUMBER(((NºAsuntos!I18/NºAsuntos!G18)-Datos!BE18)/Datos!BE18),((NºAsuntos!I18/NºAsuntos!G18)-Datos!BE18)/Datos!BE18," - ")</f>
        <v>-6.6982269359448329E-2</v>
      </c>
      <c r="J18" s="857">
        <f>IF(ISNUMBER((('Resol  Asuntos'!D18/NºAsuntos!G18)-Datos!BF18)/Datos!BF18),(('Resol  Asuntos'!D18/NºAsuntos!G18)-Datos!BF18)/Datos!BF18," - ")</f>
        <v>0.26858161648177509</v>
      </c>
      <c r="K18" s="857">
        <f>IF(ISNUMBER((((NºAsuntos!C18+NºAsuntos!E18)/NºAsuntos!G18)-Datos!BG18)/Datos!BG18),(((NºAsuntos!C18+NºAsuntos!E18)/NºAsuntos!G18)-Datos!BG18)/Datos!BG18," - ")</f>
        <v>-8.5899902094106709E-2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0.27533193570929421</v>
      </c>
      <c r="C19" s="802">
        <f>IF(ISNUMBER(
   IF(J_V="SI",(Datos!J19-Datos!T19)/Datos!T19,(Datos!J19+Datos!Z19-(Datos!T19+Datos!AH19))/(Datos!T19+Datos!AH19))
     ),IF(J_V="SI",(Datos!J19-Datos!T19)/Datos!T19,(Datos!J19+Datos!Z19-(Datos!T19+Datos!AH19))/(Datos!T19+Datos!AH19))," - ")</f>
        <v>0.14167212399039511</v>
      </c>
      <c r="D19" s="802">
        <f>IF(ISNUMBER(
   IF(J_V="SI",(Datos!K19-Datos!U19)/Datos!U19,(Datos!K19+Datos!AA19-(Datos!U19+Datos!AI19))/(Datos!U19+Datos!AI19))
     ),IF(J_V="SI",(Datos!K19-Datos!U19)/Datos!U19,(Datos!K19+Datos!AA19-(Datos!U19+Datos!AI19))/(Datos!U19+Datos!AI19))," - ")</f>
        <v>0.28328950513985179</v>
      </c>
      <c r="E19" s="802">
        <f>IF(ISNUMBER(
   IF(J_V="SI",(Datos!L19-Datos!V19)/Datos!V19,(Datos!L19+Datos!AB19-(Datos!V19+Datos!AJ19))/(Datos!V19+Datos!AJ19))
     ),IF(J_V="SI",(Datos!L19-Datos!V19)/Datos!V19,(Datos!L19+Datos!AB19-(Datos!V19+Datos!AJ19))/(Datos!V19+Datos!AJ19))," - ")</f>
        <v>8.8767123287671237E-2</v>
      </c>
      <c r="F19" s="803">
        <f>IF(ISNUMBER((Datos!M19-Datos!W19)/Datos!W19),(Datos!M19-Datos!W19)/Datos!W19," - ")</f>
        <v>0.58053097345132743</v>
      </c>
      <c r="G19" s="804">
        <f>IF(ISNUMBER((Datos!N19-Datos!X19)/Datos!X19),(Datos!N19-Datos!X19)/Datos!X19," - ")</f>
        <v>0.13095238095238096</v>
      </c>
      <c r="H19" s="805">
        <f>IF(ISNUMBER((Tasas!B19-Datos!BD19)/Datos!BD19),(Tasas!B19-Datos!BD19)/Datos!BD19," - ")</f>
        <v>0.12404382849821444</v>
      </c>
      <c r="I19" s="806">
        <f>IF(ISNUMBER((Tasas!C19-Datos!BE19)/Datos!BE19),(Tasas!C19-Datos!BE19)/Datos!BE19," - ")</f>
        <v>-0.15158105873466302</v>
      </c>
      <c r="J19" s="807">
        <f>IF(ISNUMBER((Tasas!D19-Datos!BF19)/Datos!BF19),(Tasas!D19-Datos!BF19)/Datos!BF19," - ")</f>
        <v>-0.27814531015206129</v>
      </c>
      <c r="K19" s="807">
        <f>IF(ISNUMBER((Tasas!E19-Datos!BG19)/Datos!BG19),(Tasas!E19-Datos!BG19)/Datos!BG19," - ")</f>
        <v>-8.5563814001405947E-2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YWorQ243ZkDL8EVM1JXvkdQ4pV0vfajtTPbTt3PvHNTSxrUltxZozlDlLvo1Yy5Mui7nifUN+7GP6H+ejx5xA==" saltValue="8eplLRPuPk3eFyy4dhCef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VALLADOLID</v>
      </c>
    </row>
    <row r="4" spans="1:7" ht="11.25" customHeight="1" thickBot="1">
      <c r="B4" s="391" t="str">
        <f>Criterios!A11 &amp;"  "&amp;Criterios!B11</f>
        <v>Resumenes por Partidos Judiciales  MEDINA DEL CAMPO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0.88888888888888884</v>
      </c>
      <c r="C10" s="443">
        <f>IF(ISNUMBER(NºAsuntos!I10/NºAsuntos!G10),NºAsuntos!I10/NºAsuntos!G10," - ")</f>
        <v>0.375</v>
      </c>
      <c r="D10" s="444">
        <f>IF(ISNUMBER('Resol  Asuntos'!D10/NºAsuntos!G10),'Resol  Asuntos'!D10/NºAsuntos!G10," - ")</f>
        <v>0.5</v>
      </c>
      <c r="E10" s="445">
        <f>IF(ISNUMBER((NºAsuntos!C10+NºAsuntos!E10)/NºAsuntos!G10),(NºAsuntos!C10+NºAsuntos!E10)/NºAsuntos!G10," - ")</f>
        <v>1.375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0.99818264425261249</v>
      </c>
      <c r="C12" s="443">
        <f>IF(ISNUMBER(NºAsuntos!I12/NºAsuntos!G12),NºAsuntos!I12/NºAsuntos!G12," - ")</f>
        <v>0.51979972690031861</v>
      </c>
      <c r="D12" s="444">
        <f>IF(ISNUMBER('Resol  Asuntos'!D12/NºAsuntos!G12),'Resol  Asuntos'!D12/NºAsuntos!G12," - ")</f>
        <v>0.26081019572143832</v>
      </c>
      <c r="E12" s="445">
        <f>IF(ISNUMBER((NºAsuntos!C12+NºAsuntos!E12)/NºAsuntos!G12),(NºAsuntos!C12+NºAsuntos!E12)/NºAsuntos!G12," - ")</f>
        <v>1.5111515703231679</v>
      </c>
      <c r="G12" s="463"/>
    </row>
    <row r="13" spans="1:7" ht="14.25" thickTop="1" thickBot="1">
      <c r="A13" s="848" t="str">
        <f>Datos!A13</f>
        <v>TOTAL</v>
      </c>
      <c r="B13" s="858">
        <f>IF(ISNUMBER(NºAsuntos!G13/NºAsuntos!E13),NºAsuntos!G13/NºAsuntos!E13," - ")</f>
        <v>0.99729607931500674</v>
      </c>
      <c r="C13" s="859">
        <f>IF(ISNUMBER(NºAsuntos!I13/NºAsuntos!G13),NºAsuntos!I13/NºAsuntos!G13," - ")</f>
        <v>0.51875282422051516</v>
      </c>
      <c r="D13" s="860">
        <f>IF(ISNUMBER('Resol  Asuntos'!D13/NºAsuntos!G13),'Resol  Asuntos'!D13/NºAsuntos!G13," - ")</f>
        <v>0.26253953908721195</v>
      </c>
      <c r="E13" s="861">
        <f>IF(ISNUMBER((NºAsuntos!C13+NºAsuntos!E13)/NºAsuntos!G13),(NºAsuntos!C13+NºAsuntos!E13)/NºAsuntos!G13," - ")</f>
        <v>1.510167193854496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1.0465601111883251</v>
      </c>
      <c r="C16" s="443">
        <f>IF(ISNUMBER(NºAsuntos!I16/NºAsuntos!G16),NºAsuntos!I16/NºAsuntos!G16," - ")</f>
        <v>0.26195219123505975</v>
      </c>
      <c r="D16" s="444">
        <f>IF(ISNUMBER('Resol  Asuntos'!D16/NºAsuntos!G16),'Resol  Asuntos'!D16/NºAsuntos!G16," - ")</f>
        <v>0.10292164674634795</v>
      </c>
      <c r="E16" s="445">
        <f>IF(ISNUMBER((NºAsuntos!C16+NºAsuntos!E16)/NºAsuntos!G16),(NºAsuntos!C16+NºAsuntos!E16)/NºAsuntos!G16," - ")</f>
        <v>1.1686586985391767</v>
      </c>
      <c r="G16" s="463"/>
    </row>
    <row r="17" spans="1:7" ht="13.5" thickBot="1">
      <c r="A17" s="402" t="str">
        <f>Datos!A17</f>
        <v>Jdos. Violencia contra la mujer</v>
      </c>
      <c r="B17" s="442">
        <f>IF(ISNUMBER(NºAsuntos!G17/NºAsuntos!E17),NºAsuntos!G17/NºAsuntos!E17," - ")</f>
        <v>1.0751879699248121</v>
      </c>
      <c r="C17" s="443">
        <f>IF(ISNUMBER(NºAsuntos!I17/NºAsuntos!G17),NºAsuntos!I17/NºAsuntos!G17," - ")</f>
        <v>0.34965034965034963</v>
      </c>
      <c r="D17" s="444">
        <f>IF(ISNUMBER('Resol  Asuntos'!D17/NºAsuntos!G17),'Resol  Asuntos'!D17/NºAsuntos!G17," - ")</f>
        <v>1.3986013986013986E-2</v>
      </c>
      <c r="E17" s="445">
        <f>IF(ISNUMBER((NºAsuntos!C17+NºAsuntos!E17)/NºAsuntos!G17),(NºAsuntos!C17+NºAsuntos!E17)/NºAsuntos!G17," - ")</f>
        <v>1.3496503496503496</v>
      </c>
      <c r="G17" s="463"/>
    </row>
    <row r="18" spans="1:7" ht="14.25" thickTop="1" thickBot="1">
      <c r="A18" s="848" t="str">
        <f>Datos!A18</f>
        <v>TOTAL</v>
      </c>
      <c r="B18" s="858">
        <f>IF(ISNUMBER(NºAsuntos!G18/NºAsuntos!E18),NºAsuntos!G18/NºAsuntos!E18," - ")</f>
        <v>1.0478246429757556</v>
      </c>
      <c r="C18" s="859">
        <f>IF(ISNUMBER(NºAsuntos!I18/NºAsuntos!G18),NºAsuntos!I18/NºAsuntos!G18," - ")</f>
        <v>0.26592709984152141</v>
      </c>
      <c r="D18" s="862">
        <f>IF(ISNUMBER('Resol  Asuntos'!D18/NºAsuntos!G18),'Resol  Asuntos'!D18/NºAsuntos!G18," - ")</f>
        <v>9.8890649762282096E-2</v>
      </c>
      <c r="E18" s="861">
        <f>IF(ISNUMBER((NºAsuntos!C18+NºAsuntos!E18)/NºAsuntos!G18),(NºAsuntos!C18+NºAsuntos!E18)/NºAsuntos!G18," - ")</f>
        <v>1.1768621236133121</v>
      </c>
      <c r="G18" s="463"/>
    </row>
    <row r="19" spans="1:7" ht="15.75" customHeight="1" thickTop="1" thickBot="1">
      <c r="A19" s="793" t="str">
        <f>Datos!A19</f>
        <v>TOTAL JURISDICCIONES</v>
      </c>
      <c r="B19" s="808">
        <f>IF(ISNUMBER(NºAsuntos!G19/NºAsuntos!E19),NºAsuntos!G19/NºAsuntos!E19," - ")</f>
        <v>1.0263862332695985</v>
      </c>
      <c r="C19" s="809">
        <f>IF(ISNUMBER(NºAsuntos!I19/NºAsuntos!G19),NºAsuntos!I19/NºAsuntos!G19," - ")</f>
        <v>0.3701564828614009</v>
      </c>
      <c r="D19" s="810">
        <f>IF(ISNUMBER('Resol  Asuntos'!D19/NºAsuntos!G19),'Resol  Asuntos'!D19/NºAsuntos!G19," - ")</f>
        <v>0.16635618479880776</v>
      </c>
      <c r="E19" s="811">
        <f>IF(ISNUMBER((NºAsuntos!C19+NºAsuntos!E19)/NºAsuntos!G19),(NºAsuntos!C19+NºAsuntos!E19)/NºAsuntos!G19," - ")</f>
        <v>1.3142697466467959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Kt1d6zsGWHF+WUw0suHSPhgQ7MOW/hJCN9tIh7CCLUHzzSmPmxgp/OWwJ4LS8WlGBYfrXHFDFJLb6hQ+1RlKw==" saltValue="5XPcyLkTLMVm8q6x1S02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VALLADOLID</v>
      </c>
      <c r="N2" s="262" t="str">
        <f>Criterios!A11 &amp;"  "&amp;Criterios!B11</f>
        <v>Resumenes por Partidos Judiciales  MEDINA DEL CAMPO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9</v>
      </c>
      <c r="Y10" s="334">
        <f t="shared" ref="Y10:Y12" si="0">SUM(W10:X10)</f>
        <v>25</v>
      </c>
      <c r="Z10" s="335" t="str">
        <f>IF(ISNUMBER(Datos!CC10),Datos!CC10," - ")</f>
        <v xml:space="preserve"> - </v>
      </c>
      <c r="AA10" s="332">
        <f>IF(ISNUMBER(Datos!L10),Datos!L10,"-")</f>
        <v>6</v>
      </c>
      <c r="AB10" s="334">
        <f>IF(ISNUMBER(Datos!R10),Datos!R10," - ")</f>
        <v>13</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0.88888888888888884</v>
      </c>
      <c r="AM10" s="260">
        <f>IF(ISNUMBER(((NºAsuntos!I10/NºAsuntos!G10)*11)/factor_trimestre),((NºAsuntos!I10/NºAsuntos!G10)*11)/factor_trimestre," - ")</f>
        <v>4.125</v>
      </c>
      <c r="AN10" s="244">
        <f>IF(ISNUMBER('Resol  Asuntos'!D10/NºAsuntos!G10),'Resol  Asuntos'!D10/NºAsuntos!G10," - ")</f>
        <v>0.5</v>
      </c>
      <c r="AO10" s="245">
        <f>IF(ISNUMBER((NºAsuntos!C10+NºAsuntos!E10)/NºAsuntos!G10),(NºAsuntos!C10+NºAsuntos!E10)/NºAsuntos!G10," - ")</f>
        <v>1.375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580</v>
      </c>
      <c r="Y12" s="334">
        <f t="shared" si="0"/>
        <v>580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573</v>
      </c>
      <c r="AJ12" s="229" t="str">
        <f>IF(ISNUMBER(Datos!BW12),Datos!BW12," - ")</f>
        <v xml:space="preserve"> - </v>
      </c>
      <c r="AK12" s="228" t="str">
        <f>IF(ISNUMBER(Datos!BX12),Datos!BX12," - ")</f>
        <v xml:space="preserve"> - </v>
      </c>
      <c r="AL12" s="243">
        <f>IF(ISNUMBER(NºAsuntos!G12/NºAsuntos!E12),NºAsuntos!G12/NºAsuntos!E12," - ")</f>
        <v>0.99818264425261249</v>
      </c>
      <c r="AM12" s="260">
        <f>IF(ISNUMBER(((NºAsuntos!I12/NºAsuntos!G12)*11)/factor_trimestre),((NºAsuntos!I12/NºAsuntos!G12)*11)/factor_trimestre," - ")</f>
        <v>5.7177969959035044</v>
      </c>
      <c r="AN12" s="244">
        <f>IF(ISNUMBER('Resol  Asuntos'!D12/NºAsuntos!G12),'Resol  Asuntos'!D12/NºAsuntos!G12," - ")</f>
        <v>0.26081019572143832</v>
      </c>
      <c r="AO12" s="245">
        <f>IF(ISNUMBER((NºAsuntos!C12+NºAsuntos!E12)/NºAsuntos!G12),(NºAsuntos!C12+NºAsuntos!E12)/NºAsuntos!G12," - ")</f>
        <v>1.5111515703231679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v>
      </c>
      <c r="G13" s="866">
        <f t="shared" si="3"/>
        <v>4</v>
      </c>
      <c r="H13" s="865">
        <f t="shared" si="3"/>
        <v>0</v>
      </c>
      <c r="I13" s="867">
        <f t="shared" si="3"/>
        <v>0</v>
      </c>
      <c r="J13" s="867">
        <f t="shared" si="3"/>
        <v>0</v>
      </c>
      <c r="K13" s="867">
        <f t="shared" si="3"/>
        <v>0</v>
      </c>
      <c r="L13" s="867">
        <f t="shared" si="3"/>
        <v>573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589</v>
      </c>
      <c r="Y13" s="868">
        <f t="shared" si="4"/>
        <v>605</v>
      </c>
      <c r="Z13" s="868">
        <f t="shared" si="4"/>
        <v>0</v>
      </c>
      <c r="AA13" s="868">
        <f t="shared" si="4"/>
        <v>6</v>
      </c>
      <c r="AB13" s="868">
        <f t="shared" si="4"/>
        <v>1855</v>
      </c>
      <c r="AC13" s="868">
        <f t="shared" si="4"/>
        <v>19</v>
      </c>
      <c r="AD13" s="868">
        <f t="shared" si="4"/>
        <v>0</v>
      </c>
      <c r="AE13" s="872">
        <f t="shared" si="4"/>
        <v>0</v>
      </c>
      <c r="AF13" s="865">
        <f t="shared" si="4"/>
        <v>0</v>
      </c>
      <c r="AG13" s="873">
        <f t="shared" si="4"/>
        <v>0</v>
      </c>
      <c r="AH13" s="870">
        <f t="shared" si="4"/>
        <v>0</v>
      </c>
      <c r="AI13" s="865">
        <f t="shared" si="4"/>
        <v>581</v>
      </c>
      <c r="AJ13" s="867">
        <f t="shared" si="4"/>
        <v>0</v>
      </c>
      <c r="AK13" s="870">
        <f>SUBTOTAL(9,AK9:AK12)</f>
        <v>0</v>
      </c>
      <c r="AL13" s="874">
        <f>IF(ISNUMBER(NºAsuntos!G13/NºAsuntos!E13),NºAsuntos!G13/NºAsuntos!E13," - ")</f>
        <v>0.99729607931500674</v>
      </c>
      <c r="AM13" s="874">
        <f>IF(ISNUMBER(((NºAsuntos!I13/NºAsuntos!G13)*11)/factor_trimestre),((NºAsuntos!I13/NºAsuntos!G13)*11)/factor_trimestre," - ")</f>
        <v>5.7062810664256665</v>
      </c>
      <c r="AN13" s="875">
        <f>IF(ISNUMBER('Resol  Asuntos'!D13/NºAsuntos!G13),'Resol  Asuntos'!D13/NºAsuntos!G13," - ")</f>
        <v>0.26253953908721195</v>
      </c>
      <c r="AO13" s="876">
        <f>IF(ISNUMBER((NºAsuntos!C13+NºAsuntos!E13)/NºAsuntos!G13),(NºAsuntos!C13+NºAsuntos!E13)/NºAsuntos!G13," - ")</f>
        <v>1.510167193854496</v>
      </c>
      <c r="AP13" s="877" t="str">
        <f t="shared" si="2"/>
        <v xml:space="preserve"> - </v>
      </c>
      <c r="AQ13" s="877">
        <f>IF(ISNUMBER((H13-W13+K13)/(F13)),(H13-W13+K13)/(F13)," - ")</f>
        <v>-4</v>
      </c>
      <c r="AR13" s="878">
        <f>IF(ISNUMBER((Datos!P13-Datos!Q13)/(Datos!R13-Datos!P13+Datos!Q13)),(Datos!P13-Datos!Q13)/(Datos!R13-Datos!P13+Datos!Q13)," - ")</f>
        <v>-8.5515766969535001E-3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923</v>
      </c>
      <c r="G16" s="333">
        <f>IF(ISNUMBER(IF(D_I="SI",Datos!I16,Datos!I16+Datos!AC16)),IF(D_I="SI",Datos!I16,Datos!I16+Datos!AC16)," - ")</f>
        <v>642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3012</v>
      </c>
      <c r="X16" s="226">
        <f>IF(ISNUMBER(Datos!Q16),Datos!Q16," - ")</f>
        <v>75</v>
      </c>
      <c r="Y16" s="334">
        <f t="shared" ref="Y16:Y17" si="7">SUM(W16:X16)</f>
        <v>3087</v>
      </c>
      <c r="Z16" s="335" t="str">
        <f>IF(ISNUMBER(Datos!CC16),Datos!CC16," - ")</f>
        <v xml:space="preserve"> - </v>
      </c>
      <c r="AA16" s="332">
        <f>IF(ISNUMBER(IF(D_I="SI",Datos!L16,Datos!L16+Datos!AF16)),IF(D_I="SI",Datos!L16,Datos!L16+Datos!AF16)," - ")</f>
        <v>789</v>
      </c>
      <c r="AB16" s="334">
        <f>IF(ISNUMBER(Datos!R16),Datos!R16," - ")</f>
        <v>88</v>
      </c>
      <c r="AC16" s="334">
        <f t="shared" si="6"/>
        <v>877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310</v>
      </c>
      <c r="AJ16" s="231" t="str">
        <f>IF(ISNUMBER(Datos!BW16),Datos!BW16," - ")</f>
        <v xml:space="preserve"> - </v>
      </c>
      <c r="AK16" s="232" t="str">
        <f>IF(ISNUMBER(Datos!BX16),Datos!BX16," - ")</f>
        <v xml:space="preserve"> - </v>
      </c>
      <c r="AL16" s="243">
        <f>IF(ISNUMBER(NºAsuntos!G16/NºAsuntos!E16),NºAsuntos!G16/NºAsuntos!E16," - ")</f>
        <v>1.0465601111883251</v>
      </c>
      <c r="AM16" s="260">
        <f>IF(ISNUMBER(((NºAsuntos!I16/NºAsuntos!G16)*11)/factor_trimestre),((NºAsuntos!I16/NºAsuntos!G16)*11)/factor_trimestre," - ")</f>
        <v>2.8814741035856573</v>
      </c>
      <c r="AN16" s="244">
        <f>IF(ISNUMBER('Resol  Asuntos'!D16/NºAsuntos!G16),'Resol  Asuntos'!D16/NºAsuntos!G16," - ")</f>
        <v>0.10292164674634795</v>
      </c>
      <c r="AO16" s="245">
        <f>IF(ISNUMBER((NºAsuntos!C16+NºAsuntos!E16)/NºAsuntos!G16),(NºAsuntos!C16+NºAsuntos!E16)/NºAsuntos!G16," - ")</f>
        <v>1.1686586985391767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143</v>
      </c>
      <c r="X17" s="226">
        <f>IF(ISNUMBER(Datos!Q17),Datos!Q17," - ")</f>
        <v>1</v>
      </c>
      <c r="Y17" s="334">
        <f t="shared" si="7"/>
        <v>144</v>
      </c>
      <c r="Z17" s="335" t="str">
        <f>IF(ISNUMBER(Datos!CC17),Datos!CC17," - ")</f>
        <v xml:space="preserve"> - </v>
      </c>
      <c r="AA17" s="332">
        <f>IF(ISNUMBER(Datos!L17),Datos!L17,"-")</f>
        <v>50</v>
      </c>
      <c r="AB17" s="334">
        <f>IF(ISNUMBER(Datos!R17),Datos!R17," - ")</f>
        <v>0</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1.0751879699248121</v>
      </c>
      <c r="AM17" s="260">
        <f>IF(ISNUMBER(((NºAsuntos!I17/NºAsuntos!G17)*11)/factor_trimestre),((NºAsuntos!I17/NºAsuntos!G17)*11)/factor_trimestre," - ")</f>
        <v>3.8461538461538458</v>
      </c>
      <c r="AN17" s="244">
        <f>IF(ISNUMBER('Resol  Asuntos'!D17/NºAsuntos!G17),'Resol  Asuntos'!D17/NºAsuntos!G17," - ")</f>
        <v>1.3986013986013986E-2</v>
      </c>
      <c r="AO17" s="245">
        <f>IF(ISNUMBER((NºAsuntos!C17+NºAsuntos!E17)/NºAsuntos!G17),(NºAsuntos!C17+NºAsuntos!E17)/NºAsuntos!G17," - ")</f>
        <v>1.3496503496503496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923</v>
      </c>
      <c r="G18" s="866">
        <f>SUBTOTAL(9,G15:G17)</f>
        <v>702</v>
      </c>
      <c r="H18" s="865">
        <f t="shared" ref="H18:O18" si="10">SUBTOTAL(9,H14:H17)</f>
        <v>0</v>
      </c>
      <c r="I18" s="867">
        <f t="shared" si="10"/>
        <v>0</v>
      </c>
      <c r="J18" s="867">
        <f t="shared" si="10"/>
        <v>0</v>
      </c>
      <c r="K18" s="867">
        <f t="shared" si="10"/>
        <v>0</v>
      </c>
      <c r="L18" s="867">
        <f t="shared" si="10"/>
        <v>92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3155</v>
      </c>
      <c r="X18" s="867">
        <f t="shared" si="11"/>
        <v>76</v>
      </c>
      <c r="Y18" s="868">
        <f t="shared" si="11"/>
        <v>3231</v>
      </c>
      <c r="Z18" s="868">
        <f t="shared" si="11"/>
        <v>0</v>
      </c>
      <c r="AA18" s="868">
        <f t="shared" si="11"/>
        <v>839</v>
      </c>
      <c r="AB18" s="868">
        <f t="shared" si="11"/>
        <v>88</v>
      </c>
      <c r="AC18" s="868">
        <f t="shared" si="11"/>
        <v>927</v>
      </c>
      <c r="AD18" s="868">
        <f t="shared" si="11"/>
        <v>0</v>
      </c>
      <c r="AE18" s="872">
        <f t="shared" si="11"/>
        <v>0</v>
      </c>
      <c r="AF18" s="865">
        <f t="shared" si="11"/>
        <v>0</v>
      </c>
      <c r="AG18" s="873">
        <f t="shared" si="11"/>
        <v>0</v>
      </c>
      <c r="AH18" s="870">
        <f t="shared" si="11"/>
        <v>0</v>
      </c>
      <c r="AI18" s="865">
        <f t="shared" si="11"/>
        <v>312</v>
      </c>
      <c r="AJ18" s="867">
        <f t="shared" si="11"/>
        <v>0</v>
      </c>
      <c r="AK18" s="870">
        <f t="shared" si="11"/>
        <v>0</v>
      </c>
      <c r="AL18" s="874">
        <f>IF(ISNUMBER(NºAsuntos!G18/NºAsuntos!E18),NºAsuntos!G18/NºAsuntos!E18," - ")</f>
        <v>1.0478246429757556</v>
      </c>
      <c r="AM18" s="874">
        <f>IF(ISNUMBER(((NºAsuntos!I18/NºAsuntos!G18)*11)/factor_trimestre),((NºAsuntos!I18/NºAsuntos!G18)*11)/factor_trimestre," - ")</f>
        <v>2.9251980982567356</v>
      </c>
      <c r="AN18" s="875">
        <f>IF(ISNUMBER('Resol  Asuntos'!D18/NºAsuntos!G18),'Resol  Asuntos'!D18/NºAsuntos!G18," - ")</f>
        <v>9.8890649762282096E-2</v>
      </c>
      <c r="AO18" s="876">
        <f>IF(ISNUMBER((NºAsuntos!C18+NºAsuntos!E18)/NºAsuntos!G18),(NºAsuntos!C18+NºAsuntos!E18)/NºAsuntos!G18," - ")</f>
        <v>1.1768621236133121</v>
      </c>
      <c r="AP18" s="877" t="str">
        <f t="shared" si="2"/>
        <v xml:space="preserve"> - </v>
      </c>
      <c r="AQ18" s="877">
        <f>IF(ISNUMBER((H18-W18+K18)/(F18)),(H18-W18+K18)/(F18)," - ")</f>
        <v>-3.4182015167930659</v>
      </c>
      <c r="AR18" s="878">
        <f>IF(ISNUMBER((Datos!P18-Datos!Q18)/(Datos!R18-Datos!P18+Datos!Q18)),(Datos!P18-Datos!Q18)/(Datos!R18-Datos!P18+Datos!Q18)," - ")</f>
        <v>0.22222222222222221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927</v>
      </c>
      <c r="G19" s="821">
        <f t="shared" si="13"/>
        <v>706</v>
      </c>
      <c r="H19" s="820">
        <f t="shared" si="13"/>
        <v>0</v>
      </c>
      <c r="I19" s="822">
        <f t="shared" si="13"/>
        <v>0</v>
      </c>
      <c r="J19" s="822">
        <f t="shared" si="13"/>
        <v>0</v>
      </c>
      <c r="K19" s="881">
        <f t="shared" si="13"/>
        <v>0</v>
      </c>
      <c r="L19" s="822">
        <f t="shared" si="13"/>
        <v>665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3171</v>
      </c>
      <c r="X19" s="821">
        <f t="shared" si="14"/>
        <v>665</v>
      </c>
      <c r="Y19" s="828">
        <f t="shared" si="14"/>
        <v>3836</v>
      </c>
      <c r="Z19" s="828">
        <f t="shared" si="14"/>
        <v>0</v>
      </c>
      <c r="AA19" s="828">
        <f t="shared" si="14"/>
        <v>845</v>
      </c>
      <c r="AB19" s="828">
        <f t="shared" si="14"/>
        <v>1943</v>
      </c>
      <c r="AC19" s="828">
        <f t="shared" si="14"/>
        <v>946</v>
      </c>
      <c r="AD19" s="828">
        <f t="shared" si="14"/>
        <v>0</v>
      </c>
      <c r="AE19" s="830">
        <f t="shared" si="14"/>
        <v>0</v>
      </c>
      <c r="AF19" s="831">
        <f t="shared" si="14"/>
        <v>0</v>
      </c>
      <c r="AG19" s="832">
        <f t="shared" si="14"/>
        <v>0</v>
      </c>
      <c r="AH19" s="830">
        <f t="shared" si="14"/>
        <v>0</v>
      </c>
      <c r="AI19" s="820">
        <f t="shared" si="14"/>
        <v>893</v>
      </c>
      <c r="AJ19" s="820">
        <f t="shared" si="14"/>
        <v>0</v>
      </c>
      <c r="AK19" s="830">
        <f t="shared" si="14"/>
        <v>0</v>
      </c>
      <c r="AL19" s="884">
        <f>IF(ISNUMBER(NºAsuntos!G19/NºAsuntos!E19),NºAsuntos!G19/NºAsuntos!E19," - ")</f>
        <v>1.0263862332695985</v>
      </c>
      <c r="AM19" s="885">
        <f>IF(ISNUMBER(((NºAsuntos!I19/NºAsuntos!G19)*11)/factor_trimestre),((NºAsuntos!I19/NºAsuntos!G19)*11)/factor_trimestre," - ")</f>
        <v>4.0717213114754101</v>
      </c>
      <c r="AN19" s="885">
        <f>IF(ISNUMBER('Resol  Asuntos'!D19/NºAsuntos!G19),'Resol  Asuntos'!D19/NºAsuntos!G19," - ")</f>
        <v>0.16635618479880776</v>
      </c>
      <c r="AO19" s="886">
        <f>IF(ISNUMBER((NºAsuntos!C19+NºAsuntos!E19)/NºAsuntos!G19),(NºAsuntos!C19+NºAsuntos!E19)/NºAsuntos!G19," - ")</f>
        <v>1.3142697466467959</v>
      </c>
      <c r="AP19" s="887" t="str">
        <f t="shared" si="2"/>
        <v xml:space="preserve"> - </v>
      </c>
      <c r="AQ19" s="888">
        <f>IF(OR(ISNUMBER(FIND("01",Criterios!A8,1)),ISNUMBER(FIND("02",Criterios!A8,1)),ISNUMBER(FIND("03",Criterios!A8,1)),ISNUMBER(FIND("04",Criterios!A8,1))),(I19-W19+K19)/(F19-K19),(H19-W19+K19)/(F19-K19))</f>
        <v>-3.4207119741100325</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282.39999999999998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530.584897385266</v>
      </c>
      <c r="G21" s="253">
        <f>IF(ISNUMBER(STDEV(G8:G18)),STDEV(G8:G18),"-")</f>
        <v>357.01932720792581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1658.5337801805545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256.03489345529971</v>
      </c>
      <c r="AJ21" s="252">
        <f t="shared" si="18"/>
        <v>0</v>
      </c>
      <c r="AK21" s="254">
        <f t="shared" si="18"/>
        <v>0</v>
      </c>
      <c r="AL21" s="249">
        <f t="shared" si="18"/>
        <v>6.630179119943283E-2</v>
      </c>
      <c r="AM21" s="250">
        <f t="shared" si="18"/>
        <v>1.2702009523196445</v>
      </c>
      <c r="AN21" s="250">
        <f t="shared" si="18"/>
        <v>0.17412762904250514</v>
      </c>
      <c r="AO21" s="251">
        <f t="shared" si="18"/>
        <v>0.15172198424562258</v>
      </c>
      <c r="AP21" s="291" t="str">
        <f t="shared" si="18"/>
        <v>-</v>
      </c>
      <c r="AQ21" s="292">
        <f t="shared" si="18"/>
        <v>0.41139365275967077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tB1Mi5izZmzBduka0raLjLC11nID+/a7wx47kxlHuiZhUQK9Lqj5Thgcit8ibFh2Qp7KZXzVfu23s05xh8sp/w==" saltValue="t67G/OpXuvTct6Wsk+jC4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VALLADOLID</v>
      </c>
      <c r="E3" s="263"/>
    </row>
    <row r="4" spans="2:20" ht="17.25" customHeight="1" thickBot="1">
      <c r="D4" s="262" t="str">
        <f>Criterios!A11 &amp;"  "&amp;Criterios!B11</f>
        <v>Resumenes por Partidos Judiciales  MEDINA DEL CAMPO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0.5</v>
      </c>
      <c r="F10" s="348">
        <f>IF(ISNUMBER((Datos!K10-Datos!U10)/Datos!U10),(Datos!K10-Datos!U10)/Datos!U10," - ")</f>
        <v>0.33333333333333331</v>
      </c>
      <c r="G10" s="349">
        <f>IF(ISNUMBER((Datos!L10-Datos!V10)/Datos!V10),(Datos!L10-Datos!V10)/Datos!V10," - ")</f>
        <v>0.5</v>
      </c>
      <c r="H10" s="230">
        <f>IF(ISNUMBER((Datos!M10-Datos!W10)/Datos!W10),(Datos!M10-Datos!W10)/Datos!W10," - ")</f>
        <v>-0.27272727272727271</v>
      </c>
      <c r="I10" s="350">
        <f>IF(ISNUMBER((Tasas!C10-Datos!BE10)/Datos!BE10),(Tasas!C10-Datos!BE10)/Datos!BE10," - ")</f>
        <v>0.12500000000000006</v>
      </c>
      <c r="J10" s="349">
        <f>IF(ISNUMBER((Tasas!D10-Datos!BF10)/Datos!BF10),(Tasas!D10-Datos!BF10)/Datos!BF10," - ")</f>
        <v>-0.45454545454545453</v>
      </c>
      <c r="K10" s="351">
        <f>IF(ISNUMBER((Tasas!E10-Datos!BG10)/Datos!BG10),(Tasas!E10-Datos!BG10)/Datos!BG10," - ")</f>
        <v>3.1250000000000056E-2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0.58287292817679559</v>
      </c>
      <c r="I12" s="350">
        <f>IF(ISNUMBER((Tasas!C12-Datos!BE12)/Datos!BE12),(Tasas!C12-Datos!BE12)/Datos!BE12," - ")</f>
        <v>-0.20659702096001414</v>
      </c>
      <c r="J12" s="349">
        <f>IF(ISNUMBER((Tasas!D12-Datos!BF12)/Datos!BF12),(Tasas!D12-Datos!BF12)/Datos!BF12," - ")</f>
        <v>-0.41463362116660096</v>
      </c>
      <c r="K12" s="351">
        <f>IF(ISNUMBER((Tasas!E12-Datos!BG12)/Datos!BG12),(Tasas!E12-Datos!BG12)/Datos!BG12," - ")</f>
        <v>-8.6355085978063365E-2</v>
      </c>
      <c r="M12" t="e">
        <f>IF(Monitorios="SI",Datos!CE12,0)</f>
        <v>#REF!</v>
      </c>
      <c r="N12" t="e">
        <f>IF(Monitorios="SI",Datos!CF12,0)</f>
        <v>#REF!</v>
      </c>
      <c r="O12" t="e">
        <f>IF(Monitorios="SI",Datos!CG12,0)</f>
        <v>#REF!</v>
      </c>
      <c r="P12" t="e">
        <f>IF(Monitorios="SI",Datos!CH12,0)</f>
        <v>#REF!</v>
      </c>
      <c r="Q12">
        <f>IF(J_V="SI",0,Datos!AG12)</f>
        <v>38</v>
      </c>
      <c r="R12">
        <f>IF(J_V="SI",0,Datos!AH12)</f>
        <v>141</v>
      </c>
      <c r="S12">
        <f>IF(J_V="SI",0,Datos!AI12)</f>
        <v>121</v>
      </c>
      <c r="T12">
        <f>IF(J_V="SI",0,Datos!AJ12)</f>
        <v>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0.55764075067024133</v>
      </c>
      <c r="I13" s="357">
        <f>IF(ISNUMBER((Tasas!C13-Datos!BE13)/Datos!BE13),(Tasas!C13-Datos!BE13)/Datos!BE13," - ")</f>
        <v>-0.20547207688398395</v>
      </c>
      <c r="J13" s="355">
        <f>IF(ISNUMBER((Tasas!D13-Datos!BF13)/Datos!BF13),(Tasas!D13-Datos!BF13)/Datos!BF13," - ")</f>
        <v>-0.4150673481476625</v>
      </c>
      <c r="K13" s="358">
        <f>IF(ISNUMBER((Tasas!E13-Datos!BG13)/Datos!BG13),(Tasas!E13-Datos!BG13)/Datos!BG13," - ")</f>
        <v>-8.5713631316531785E-2</v>
      </c>
      <c r="M13" t="e">
        <f>IF(Monitorios="SI",Datos!CE13,0)</f>
        <v>#REF!</v>
      </c>
      <c r="N13" t="e">
        <f>IF(Monitorios="SI",Datos!CF13,0)</f>
        <v>#REF!</v>
      </c>
      <c r="O13" t="e">
        <f>IF(Monitorios="SI",Datos!CG13,0)</f>
        <v>#REF!</v>
      </c>
      <c r="P13" t="e">
        <f>IF(Monitorios="SI",Datos!CH13,0)</f>
        <v>#REF!</v>
      </c>
      <c r="Q13">
        <f>IF(J_V="SI",0,Datos!AG13)</f>
        <v>38</v>
      </c>
      <c r="R13">
        <f>IF(J_V="SI",0,Datos!AH13)</f>
        <v>141</v>
      </c>
      <c r="S13">
        <f>IF(J_V="SI",0,Datos!AI13)</f>
        <v>121</v>
      </c>
      <c r="T13">
        <f>IF(J_V="SI",0,Datos!AJ13)</f>
        <v>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-2.4316109422492401E-2</v>
      </c>
      <c r="E16" s="348">
        <f>IF(ISNUMBER(
   IF(D_I="SI",(Datos!J16-Datos!T16)/Datos!T16,(Datos!J16+Datos!AD16-(Datos!T16+Datos!AL16))/(Datos!T16+Datos!AL16))
     ),IF(D_I="SI",(Datos!J16-Datos!T16)/Datos!T16,(Datos!J16+Datos!AD16-(Datos!T16+Datos!AL16))/(Datos!T16+Datos!AL16))," - ")</f>
        <v>0.22052586938083121</v>
      </c>
      <c r="F16" s="348">
        <f>IF(ISNUMBER(
   IF(D_I="SI",(Datos!K16-Datos!U16)/Datos!U16,(Datos!K16+Datos!AE16-(Datos!U16+Datos!AM16))/(Datos!U16+Datos!AM16))
     ),IF(D_I="SI",(Datos!K16-Datos!U16)/Datos!U16,(Datos!K16+Datos!AE16-(Datos!U16+Datos!AM16))/(Datos!U16+Datos!AM16))," - ")</f>
        <v>0.27195945945945948</v>
      </c>
      <c r="G16" s="349">
        <f>IF(ISNUMBER(
   IF(D_I="SI",(Datos!L16-Datos!V16)/Datos!V16,(Datos!L16+Datos!AF16-(Datos!V16+Datos!AN16))/(Datos!V16+Datos!AN16))
     ),IF(D_I="SI",(Datos!L16-Datos!V16)/Datos!V16,(Datos!L16+Datos!AF16-(Datos!V16+Datos!AN16))/(Datos!V16+Datos!AN16))," - ")</f>
        <v>0.22897196261682243</v>
      </c>
      <c r="H16" s="230">
        <f>IF(ISNUMBER((Datos!M16-Datos!W16)/Datos!W16),(Datos!M16-Datos!W16)/Datos!W16," - ")</f>
        <v>0.61458333333333337</v>
      </c>
      <c r="I16" s="350">
        <f>IF(ISNUMBER((Tasas!C16-Datos!BE16)/Datos!BE16),(Tasas!C16-Datos!BE16)/Datos!BE16," - ")</f>
        <v>-3.3796279058221954E-2</v>
      </c>
      <c r="J16" s="349">
        <f>IF(ISNUMBER((Tasas!D16-Datos!BF16)/Datos!BF16),(Tasas!D16-Datos!BF16)/Datos!BF16," - ")</f>
        <v>0.26936697653829128</v>
      </c>
      <c r="K16" s="351">
        <f>IF(ISNUMBER((Tasas!E16-Datos!BG16)/Datos!BG16),(Tasas!E16-Datos!BG16)/Datos!BG16," - ")</f>
        <v>-8.2432427672158373E-2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0.33</v>
      </c>
      <c r="F17" s="348">
        <f>IF(ISNUMBER(
   IF(D_I="SI",(Datos!K17-Datos!U17)/Datos!U17,(Datos!K17+Datos!AE17-(Datos!U17+Datos!AM17))/(Datos!U17+Datos!AM17))
     ),IF(D_I="SI",(Datos!K17-Datos!U17)/Datos!U17,(Datos!K17+Datos!AE17-(Datos!U17+Datos!AM17))/(Datos!U17+Datos!AM17))," - ")</f>
        <v>0.50526315789473686</v>
      </c>
      <c r="G17" s="349">
        <f>IF(ISNUMBER(
   IF(D_I="SI",(Datos!L17-Datos!V17)/Datos!V17,(Datos!L17+Datos!AF17-(Datos!V17+Datos!AN17))/(Datos!V17+Datos!AN17))
     ),IF(D_I="SI",(Datos!L17-Datos!V17)/Datos!V17,(Datos!L17+Datos!AF17-(Datos!V17+Datos!AN17))/(Datos!V17+Datos!AN17))," - ")</f>
        <v>-0.16666666666666666</v>
      </c>
      <c r="H17" s="230" t="str">
        <f>IF(ISNUMBER((Datos!M17-Datos!W17)/Datos!W17),(Datos!M17-Datos!W17)/Datos!W17," - ")</f>
        <v xml:space="preserve"> - </v>
      </c>
      <c r="I17" s="350">
        <f>IF(ISNUMBER((Tasas!C17-Datos!BE17)/Datos!BE17),(Tasas!C17-Datos!BE17)/Datos!BE17," - ")</f>
        <v>-0.44638694638694637</v>
      </c>
      <c r="J17" s="349" t="str">
        <f>IF(ISNUMBER((Tasas!D17-Datos!BF17)/Datos!BF17),(Tasas!D17-Datos!BF17)/Datos!BF17," - ")</f>
        <v xml:space="preserve"> - </v>
      </c>
      <c r="K17" s="351">
        <f>IF(ISNUMBER((Tasas!E17-Datos!BG17)/Datos!BG17),(Tasas!E17-Datos!BG17)/Datos!BG17," - ")</f>
        <v>-0.1727949469884954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-1.5427769985974754E-2</v>
      </c>
      <c r="E18" s="354">
        <f>IF(ISNUMBER(
   IF(D_I="SI",(Datos!J18-Datos!T18)/Datos!T18,(Datos!J18+Datos!AD18-(Datos!T18+Datos!AL18))/(Datos!T18+Datos!AL18))
     ),IF(D_I="SI",(Datos!J18-Datos!T18)/Datos!T18,(Datos!J18+Datos!AD18-(Datos!T18+Datos!AL18))/(Datos!T18+Datos!AL18))," - ")</f>
        <v>0.22497965825874694</v>
      </c>
      <c r="F18" s="354">
        <f>IF(ISNUMBER(
   IF(D_I="SI",(Datos!K18-Datos!U18)/Datos!U18,(Datos!K18+Datos!AE18-(Datos!U18+Datos!AM18))/(Datos!U18+Datos!AM18))
     ),IF(D_I="SI",(Datos!K18-Datos!U18)/Datos!U18,(Datos!K18+Datos!AE18-(Datos!U18+Datos!AM18))/(Datos!U18+Datos!AM18))," - ")</f>
        <v>0.28095818107998377</v>
      </c>
      <c r="G18" s="355">
        <f>IF(ISNUMBER(
   IF(D_I="SI",(Datos!L18-Datos!V18)/Datos!V18,(Datos!L18+Datos!AF18-(Datos!V18+Datos!AN18))/(Datos!V18+Datos!AN18))
     ),IF(D_I="SI",(Datos!L18-Datos!V18)/Datos!V18,(Datos!L18+Datos!AF18-(Datos!V18+Datos!AN18))/(Datos!V18+Datos!AN18))," - ")</f>
        <v>0.19515669515669515</v>
      </c>
      <c r="H18" s="356">
        <f>IF(ISNUMBER((Datos!M18-Datos!W18)/Datos!W18),(Datos!M18-Datos!W18)/Datos!W18," - ")</f>
        <v>0.625</v>
      </c>
      <c r="I18" s="357">
        <f>IF(ISNUMBER((Tasas!C18-Datos!BE18)/Datos!BE18),(Tasas!C18-Datos!BE18)/Datos!BE18," - ")</f>
        <v>-6.6982269359448329E-2</v>
      </c>
      <c r="J18" s="355">
        <f>IF(ISNUMBER((Tasas!D18-Datos!BF18)/Datos!BF18),(Tasas!D18-Datos!BF18)/Datos!BF18," - ")</f>
        <v>0.26858161648177509</v>
      </c>
      <c r="K18" s="358">
        <f>IF(ISNUMBER((Tasas!E18-Datos!BG18)/Datos!BG18),(Tasas!E18-Datos!BG18)/Datos!BG18," - ")</f>
        <v>-8.5899902094106709E-2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0.27533193570929421</v>
      </c>
      <c r="E19" s="363">
        <f>IF(ISNUMBER(
   IF(J_V="SI",(Datos!J19-Datos!T19)/Datos!T19,(Datos!J19+Datos!Z19-(Datos!T19+Datos!AH19))/(Datos!T19+Datos!AH19))
     ),IF(J_V="SI",(Datos!J19-Datos!T19)/Datos!T19,(Datos!J19+Datos!Z19-(Datos!T19+Datos!AH19))/(Datos!T19+Datos!AH19))," - ")</f>
        <v>0.14167212399039511</v>
      </c>
      <c r="F19" s="363">
        <f>IF(ISNUMBER(
   IF(J_V="SI",(Datos!K19-Datos!U19)/Datos!U19,(Datos!K19+Datos!AA19-(Datos!U19+Datos!AI19))/(Datos!U19+Datos!AI19))
     ),IF(J_V="SI",(Datos!K19-Datos!U19)/Datos!U19,(Datos!K19+Datos!AA19-(Datos!U19+Datos!AI19))/(Datos!U19+Datos!AI19))," - ")</f>
        <v>0.28328950513985179</v>
      </c>
      <c r="G19" s="364">
        <f>IF(ISNUMBER(
   IF(J_V="SI",(Datos!L19-Datos!V19)/Datos!V19,(Datos!L19+Datos!AB19-(Datos!V19+Datos!AJ19))/(Datos!V19+Datos!AJ19))
     ),IF(J_V="SI",(Datos!L19-Datos!V19)/Datos!V19,(Datos!L19+Datos!AB19-(Datos!V19+Datos!AJ19))/(Datos!V19+Datos!AJ19))," - ")</f>
        <v>8.8767123287671237E-2</v>
      </c>
      <c r="H19" s="365">
        <f>IF(ISNUMBER((Datos!M19-Datos!W19)/Datos!W19),(Datos!M19-Datos!W19)/Datos!W19," - ")</f>
        <v>0.58053097345132743</v>
      </c>
      <c r="I19" s="362">
        <f>IF(ISNUMBER((Tasas!C19-Datos!BE19)/Datos!BE19),(Tasas!C19-Datos!BE19)/Datos!BE19," - ")</f>
        <v>-0.15158105873466302</v>
      </c>
      <c r="J19" s="363">
        <f>IF(ISNUMBER((Tasas!D19-Datos!BF19)/Datos!BF19),(Tasas!D19-Datos!BF19)/Datos!BF19," - ")</f>
        <v>-0.27814531015206129</v>
      </c>
      <c r="K19" s="364">
        <f>IF(ISNUMBER((Tasas!E19-Datos!BG19)/Datos!BG19),(Tasas!E19-Datos!BG19)/Datos!BG19," - ")</f>
        <v>-8.5563814001405947E-2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5.3038609701261445E-2</v>
      </c>
      <c r="E21" s="278">
        <f t="shared" si="1"/>
        <v>0.1309184452711106</v>
      </c>
      <c r="F21" s="278">
        <f t="shared" si="1"/>
        <v>0.10835669832387392</v>
      </c>
      <c r="G21" s="279">
        <f t="shared" si="1"/>
        <v>0.27377296318541738</v>
      </c>
      <c r="H21" s="285">
        <f t="shared" si="1"/>
        <v>0.38897957927033461</v>
      </c>
      <c r="I21" s="277">
        <f t="shared" si="1"/>
        <v>0.19464069271935702</v>
      </c>
      <c r="J21" s="278">
        <f t="shared" si="1"/>
        <v>0.38213743465085465</v>
      </c>
      <c r="K21" s="279">
        <f t="shared" si="1"/>
        <v>6.4962438050770774E-2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SrRuorBDyxyxiB7jJpte2SjCCgAvFGECjnLkvcuLqojmRSJLIoag0pFN3Ayo0CobRiqiYx4oUTEvYs+dzEEug==" saltValue="P7Y/MBhCjB+982z2U1Y0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